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9260" windowHeight="4080" firstSheet="1" activeTab="4"/>
  </bookViews>
  <sheets>
    <sheet name="GM Losses after Closure " sheetId="1" r:id="rId1"/>
    <sheet name="5-fut losses by class-assump" sheetId="2" r:id="rId2"/>
    <sheet name="6-projections TV" sheetId="3" r:id="rId3"/>
    <sheet name="8-2. millage summary" sheetId="4" r:id="rId4"/>
    <sheet name="9-4.  Revenue summary" sheetId="5" r:id="rId5"/>
  </sheets>
  <externalReferences>
    <externalReference r:id="rId8"/>
    <externalReference r:id="rId9"/>
  </externalReferences>
  <definedNames>
    <definedName name="_xlnm.Print_Area" localSheetId="2">'6-projections TV'!$I$2:$T$21</definedName>
    <definedName name="_xlnm.Print_Area" localSheetId="3">'8-2. millage summary'!$A$1:$F$22</definedName>
    <definedName name="_xlnm.Print_Area" localSheetId="4">'9-4.  Revenue summary'!$A$1:$F$40</definedName>
    <definedName name="_xlnm.Print_Titles" localSheetId="2">'6-projections TV'!$A:$A</definedName>
  </definedNames>
  <calcPr fullCalcOnLoad="1"/>
</workbook>
</file>

<file path=xl/sharedStrings.xml><?xml version="1.0" encoding="utf-8"?>
<sst xmlns="http://schemas.openxmlformats.org/spreadsheetml/2006/main" count="205" uniqueCount="109">
  <si>
    <t>Law Enforcement</t>
  </si>
  <si>
    <t>Debt</t>
  </si>
  <si>
    <t>Pension</t>
  </si>
  <si>
    <t>Fire Operating</t>
  </si>
  <si>
    <t>General Operating</t>
  </si>
  <si>
    <t>Headlee</t>
  </si>
  <si>
    <t>BSR</t>
  </si>
  <si>
    <t>Solid waste</t>
  </si>
  <si>
    <t>Total Operating</t>
  </si>
  <si>
    <t>Budget Year</t>
  </si>
  <si>
    <t>Operating:</t>
  </si>
  <si>
    <t>General Fund</t>
  </si>
  <si>
    <t>Fire</t>
  </si>
  <si>
    <t>Solid Waste</t>
  </si>
  <si>
    <t>Parks and Bike Path</t>
  </si>
  <si>
    <t>Taxpayer Name</t>
  </si>
  <si>
    <t>Taxpayer's TV</t>
  </si>
  <si>
    <t>Township's TV</t>
  </si>
  <si>
    <t>difference</t>
  </si>
  <si>
    <t>Loss%</t>
  </si>
  <si>
    <t>2008 Millage</t>
  </si>
  <si>
    <t>2010 Revenue</t>
  </si>
  <si>
    <t>2009 Millage</t>
  </si>
  <si>
    <t>Actual Budgeted Millage</t>
  </si>
  <si>
    <t>Taxable Value</t>
  </si>
  <si>
    <t>2009 Budgeted Revenue</t>
  </si>
  <si>
    <t>TOTAL TAX REVENUES</t>
  </si>
  <si>
    <t>residential</t>
  </si>
  <si>
    <t>Total</t>
  </si>
  <si>
    <t>Utility personal</t>
  </si>
  <si>
    <t>Commercial-Real</t>
  </si>
  <si>
    <t>Commerical-Personal</t>
  </si>
  <si>
    <t>Industrial-Real</t>
  </si>
  <si>
    <t>Industrial-Personal</t>
  </si>
  <si>
    <t>Net effective Roll</t>
  </si>
  <si>
    <t>Advalorem</t>
  </si>
  <si>
    <t>Classes:</t>
  </si>
  <si>
    <t>2011 TV Projections</t>
  </si>
  <si>
    <t>2012 TV Projections</t>
  </si>
  <si>
    <t>2013 TV Projections</t>
  </si>
  <si>
    <t>Optimistic</t>
  </si>
  <si>
    <t>Expected</t>
  </si>
  <si>
    <t>Pessimistic</t>
  </si>
  <si>
    <t>Percentage loss</t>
  </si>
  <si>
    <t>ir</t>
  </si>
  <si>
    <t>ip</t>
  </si>
  <si>
    <t>Total Debt</t>
  </si>
  <si>
    <t>Total Millage Levy</t>
  </si>
  <si>
    <t>Fire Pension</t>
  </si>
  <si>
    <t>2010 Tax Roll</t>
  </si>
  <si>
    <t>2010 Tax  Roll-after GM Closes</t>
  </si>
  <si>
    <t xml:space="preserve">2010 TV before </t>
  </si>
  <si>
    <t>GM Closes</t>
  </si>
  <si>
    <t>with expected losses</t>
  </si>
  <si>
    <t>LDFA Capture-Real</t>
  </si>
  <si>
    <t>LDFA Capture-Pers</t>
  </si>
  <si>
    <t>Effective TV Net of Capture</t>
  </si>
  <si>
    <t>Loss to Townships Value</t>
  </si>
  <si>
    <t>Class</t>
  </si>
  <si>
    <t>Net Value after Losses</t>
  </si>
  <si>
    <t>Residual</t>
  </si>
  <si>
    <t>Net Loss 2011 forward</t>
  </si>
  <si>
    <t xml:space="preserve">Expected </t>
  </si>
  <si>
    <t>Losses Due</t>
  </si>
  <si>
    <t>To GM Closure</t>
  </si>
  <si>
    <t>tax ID No.</t>
  </si>
  <si>
    <t>K-11-12-100-003</t>
  </si>
  <si>
    <t>K-11-12-300-006</t>
  </si>
  <si>
    <t>K-88-12-400-22</t>
  </si>
  <si>
    <t>K-99-124-003-01</t>
  </si>
  <si>
    <t>K-99-126-003-01</t>
  </si>
  <si>
    <t>K-99-126-100-00</t>
  </si>
  <si>
    <t>K-99-126-101-00</t>
  </si>
  <si>
    <t>K -99-929-099-03</t>
  </si>
  <si>
    <t>K -99-929-099-04</t>
  </si>
  <si>
    <t>K -99-929-348-03</t>
  </si>
  <si>
    <t>K -99-929-481-02</t>
  </si>
  <si>
    <t>K -99-929-803-04</t>
  </si>
  <si>
    <t>K -99-929-803-05</t>
  </si>
  <si>
    <t>K . 99. 930-876-00</t>
  </si>
  <si>
    <t>K -99-930-877-00</t>
  </si>
  <si>
    <t>per assessor: GM not challenging personal property, township used new state multipliers.</t>
  </si>
  <si>
    <t>note per assessor, GM has right to appeal 2010 values, and have not filed, these are the estimates of the amounts that GM will ultimately claim</t>
  </si>
  <si>
    <t>GM/Motors Liquidation</t>
  </si>
  <si>
    <t>2011 Tax Roll</t>
  </si>
  <si>
    <t>June 2009 Projected Values</t>
  </si>
  <si>
    <t>Difference</t>
  </si>
  <si>
    <t>Percentage</t>
  </si>
  <si>
    <t>August 2010 Projected Values</t>
  </si>
  <si>
    <t>table 3</t>
  </si>
  <si>
    <t>2016 Assumptions</t>
  </si>
  <si>
    <t>2017 Assumptions</t>
  </si>
  <si>
    <t>2018Assumptions</t>
  </si>
  <si>
    <t>2019 Assumptions</t>
  </si>
  <si>
    <t>2017 TV Projections</t>
  </si>
  <si>
    <t>2018 TV Projections</t>
  </si>
  <si>
    <t>2019 TV Projections</t>
  </si>
  <si>
    <t>Projected Millage for 2016 thru 2013 Revenues</t>
  </si>
  <si>
    <t>Table One-Projections of Future Gains (Losses)-By TAX ROLL</t>
  </si>
  <si>
    <t>2017 Revenue</t>
  </si>
  <si>
    <t>2016 TAX ROLL</t>
  </si>
  <si>
    <t>2018 Revenue</t>
  </si>
  <si>
    <t>2017 TAXROLL</t>
  </si>
  <si>
    <t>2019 Revenue</t>
  </si>
  <si>
    <t>for 2016 Revenues</t>
  </si>
  <si>
    <t>2017 TAX ROLL</t>
  </si>
  <si>
    <t>2018 TAX ROLL</t>
  </si>
  <si>
    <t>2016 TV</t>
  </si>
  <si>
    <t>Increase or (Loss) from Previous year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</si>
</sst>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_);\(#,##0.0000\)"/>
    <numFmt numFmtId="166" formatCode="_(* #,##0.0000_);_(* \(#,##0.0000\);_(* &quot;-&quot;????_);_(@_)"/>
    <numFmt numFmtId="167" formatCode="_(&quot;$&quot;* #,##0.0000_);_(&quot;$&quot;* \(#,##0.0000\);_(&quot;$&quot;* &quot;-&quot;????_);_(@_)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%"/>
    <numFmt numFmtId="175" formatCode="0.000%"/>
    <numFmt numFmtId="176" formatCode="_(* #,##0.000_);_(* \(#,##0.000\);_(* &quot;-&quot;??_);_(@_)"/>
  </numFmts>
  <fonts count="49">
    <font>
      <sz val="11"/>
      <name val="Century Gothic"/>
      <family val="0"/>
    </font>
    <font>
      <sz val="16"/>
      <name val="Century Gothic"/>
      <family val="0"/>
    </font>
    <font>
      <b/>
      <sz val="28"/>
      <name val="Century Gothic"/>
      <family val="2"/>
    </font>
    <font>
      <sz val="28"/>
      <name val="Century Gothic"/>
      <family val="2"/>
    </font>
    <font>
      <sz val="10"/>
      <name val="Century Gothic"/>
      <family val="2"/>
    </font>
    <font>
      <sz val="12"/>
      <name val="Century Gothic"/>
      <family val="0"/>
    </font>
    <font>
      <u val="single"/>
      <sz val="11"/>
      <color indexed="12"/>
      <name val="Century Gothic"/>
      <family val="0"/>
    </font>
    <font>
      <u val="single"/>
      <sz val="11"/>
      <color indexed="36"/>
      <name val="Century Gothic"/>
      <family val="0"/>
    </font>
    <font>
      <sz val="8"/>
      <name val="Century Gothic"/>
      <family val="0"/>
    </font>
    <font>
      <b/>
      <sz val="16"/>
      <name val="Century Gothic"/>
      <family val="2"/>
    </font>
    <font>
      <b/>
      <sz val="11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/>
    </xf>
    <xf numFmtId="9" fontId="0" fillId="0" borderId="0" xfId="61" applyFont="1" applyAlignment="1">
      <alignment/>
    </xf>
    <xf numFmtId="166" fontId="0" fillId="0" borderId="0" xfId="0" applyNumberFormat="1" applyFill="1" applyAlignment="1">
      <alignment/>
    </xf>
    <xf numFmtId="166" fontId="0" fillId="0" borderId="11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0" fillId="33" borderId="0" xfId="0" applyFill="1" applyAlignment="1">
      <alignment/>
    </xf>
    <xf numFmtId="169" fontId="0" fillId="0" borderId="12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1" fillId="33" borderId="0" xfId="0" applyFont="1" applyFill="1" applyAlignment="1">
      <alignment/>
    </xf>
    <xf numFmtId="41" fontId="1" fillId="33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43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  <xf numFmtId="169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11" xfId="0" applyFill="1" applyBorder="1" applyAlignment="1">
      <alignment/>
    </xf>
    <xf numFmtId="169" fontId="0" fillId="0" borderId="0" xfId="0" applyNumberFormat="1" applyFill="1" applyAlignment="1">
      <alignment/>
    </xf>
    <xf numFmtId="169" fontId="0" fillId="0" borderId="13" xfId="0" applyNumberFormat="1" applyFill="1" applyBorder="1" applyAlignment="1">
      <alignment/>
    </xf>
    <xf numFmtId="169" fontId="0" fillId="0" borderId="14" xfId="0" applyNumberFormat="1" applyFill="1" applyBorder="1" applyAlignment="1">
      <alignment/>
    </xf>
    <xf numFmtId="10" fontId="0" fillId="0" borderId="0" xfId="61" applyNumberFormat="1" applyFont="1" applyFill="1" applyAlignment="1">
      <alignment/>
    </xf>
    <xf numFmtId="174" fontId="0" fillId="0" borderId="0" xfId="61" applyNumberFormat="1" applyFont="1" applyFill="1" applyAlignment="1">
      <alignment/>
    </xf>
    <xf numFmtId="0" fontId="0" fillId="0" borderId="15" xfId="0" applyFill="1" applyBorder="1" applyAlignment="1">
      <alignment horizontal="right"/>
    </xf>
    <xf numFmtId="0" fontId="0" fillId="0" borderId="15" xfId="0" applyNumberFormat="1" applyFill="1" applyBorder="1" applyAlignment="1">
      <alignment horizontal="right"/>
    </xf>
    <xf numFmtId="0" fontId="0" fillId="0" borderId="0" xfId="61" applyNumberFormat="1" applyFont="1" applyFill="1" applyAlignment="1">
      <alignment horizontal="right"/>
    </xf>
    <xf numFmtId="2" fontId="4" fillId="0" borderId="15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15" xfId="0" applyFont="1" applyFill="1" applyBorder="1" applyAlignment="1">
      <alignment/>
    </xf>
    <xf numFmtId="166" fontId="4" fillId="0" borderId="15" xfId="0" applyNumberFormat="1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66" fontId="0" fillId="0" borderId="16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169" fontId="0" fillId="0" borderId="0" xfId="42" applyNumberFormat="1" applyFont="1" applyFill="1" applyBorder="1" applyAlignment="1">
      <alignment/>
    </xf>
    <xf numFmtId="0" fontId="12" fillId="0" borderId="17" xfId="0" applyFont="1" applyFill="1" applyBorder="1" applyAlignment="1">
      <alignment horizontal="right"/>
    </xf>
    <xf numFmtId="0" fontId="12" fillId="0" borderId="18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0" fontId="0" fillId="34" borderId="0" xfId="57" applyFill="1">
      <alignment/>
      <protection/>
    </xf>
    <xf numFmtId="41" fontId="0" fillId="34" borderId="0" xfId="57" applyNumberFormat="1" applyFill="1">
      <alignment/>
      <protection/>
    </xf>
    <xf numFmtId="0" fontId="0" fillId="34" borderId="0" xfId="57" applyFill="1" applyAlignment="1">
      <alignment horizontal="right"/>
      <protection/>
    </xf>
    <xf numFmtId="0" fontId="4" fillId="34" borderId="0" xfId="57" applyFont="1" applyFill="1">
      <alignment/>
      <protection/>
    </xf>
    <xf numFmtId="0" fontId="11" fillId="34" borderId="0" xfId="57" applyFont="1" applyFill="1" applyAlignment="1">
      <alignment/>
      <protection/>
    </xf>
    <xf numFmtId="0" fontId="0" fillId="34" borderId="0" xfId="57" applyFill="1" applyBorder="1" applyAlignment="1">
      <alignment horizontal="right"/>
      <protection/>
    </xf>
    <xf numFmtId="9" fontId="32" fillId="34" borderId="0" xfId="62" applyFont="1" applyFill="1" applyAlignment="1">
      <alignment horizontal="center"/>
    </xf>
    <xf numFmtId="10" fontId="0" fillId="34" borderId="0" xfId="57" applyNumberFormat="1" applyFill="1">
      <alignment/>
      <protection/>
    </xf>
    <xf numFmtId="0" fontId="11" fillId="34" borderId="0" xfId="57" applyNumberFormat="1" applyFont="1" applyFill="1" applyAlignment="1">
      <alignment/>
      <protection/>
    </xf>
    <xf numFmtId="41" fontId="0" fillId="34" borderId="20" xfId="57" applyNumberFormat="1" applyFill="1" applyBorder="1">
      <alignment/>
      <protection/>
    </xf>
    <xf numFmtId="10" fontId="4" fillId="34" borderId="0" xfId="57" applyNumberFormat="1" applyFont="1" applyFill="1">
      <alignment/>
      <protection/>
    </xf>
    <xf numFmtId="41" fontId="0" fillId="34" borderId="12" xfId="57" applyNumberFormat="1" applyFill="1" applyBorder="1">
      <alignment/>
      <protection/>
    </xf>
    <xf numFmtId="41" fontId="0" fillId="34" borderId="14" xfId="57" applyNumberFormat="1" applyFill="1" applyBorder="1">
      <alignment/>
      <protection/>
    </xf>
    <xf numFmtId="0" fontId="0" fillId="34" borderId="14" xfId="57" applyFill="1" applyBorder="1" applyAlignment="1">
      <alignment horizontal="right"/>
      <protection/>
    </xf>
    <xf numFmtId="9" fontId="32" fillId="34" borderId="14" xfId="62" applyFont="1" applyFill="1" applyBorder="1" applyAlignment="1">
      <alignment horizontal="center"/>
    </xf>
    <xf numFmtId="41" fontId="0" fillId="34" borderId="13" xfId="57" applyNumberFormat="1" applyFill="1" applyBorder="1">
      <alignment/>
      <protection/>
    </xf>
    <xf numFmtId="0" fontId="0" fillId="34" borderId="0" xfId="57" applyFont="1" applyFill="1" applyAlignment="1">
      <alignment horizontal="right" wrapText="1"/>
      <protection/>
    </xf>
    <xf numFmtId="41" fontId="0" fillId="34" borderId="0" xfId="57" applyNumberFormat="1" applyFill="1" applyAlignment="1">
      <alignment horizontal="right"/>
      <protection/>
    </xf>
    <xf numFmtId="0" fontId="0" fillId="34" borderId="0" xfId="57" applyFont="1" applyFill="1" applyAlignment="1">
      <alignment horizontal="right"/>
      <protection/>
    </xf>
    <xf numFmtId="41" fontId="0" fillId="34" borderId="0" xfId="57" applyNumberFormat="1" applyFill="1" applyAlignment="1">
      <alignment horizontal="right" wrapText="1"/>
      <protection/>
    </xf>
    <xf numFmtId="9" fontId="32" fillId="34" borderId="0" xfId="62" applyFont="1" applyFill="1" applyAlignment="1">
      <alignment horizontal="right"/>
    </xf>
    <xf numFmtId="10" fontId="0" fillId="34" borderId="0" xfId="57" applyNumberFormat="1" applyFill="1" applyAlignment="1">
      <alignment horizontal="right"/>
      <protection/>
    </xf>
    <xf numFmtId="41" fontId="11" fillId="34" borderId="0" xfId="57" applyNumberFormat="1" applyFont="1" applyFill="1" applyAlignment="1">
      <alignment/>
      <protection/>
    </xf>
    <xf numFmtId="41" fontId="0" fillId="34" borderId="0" xfId="57" applyNumberFormat="1" applyFill="1" applyAlignment="1">
      <alignment horizontal="center" wrapText="1"/>
      <protection/>
    </xf>
    <xf numFmtId="41" fontId="0" fillId="34" borderId="0" xfId="57" applyNumberFormat="1" applyFill="1" applyAlignment="1">
      <alignment horizontal="center"/>
      <protection/>
    </xf>
    <xf numFmtId="41" fontId="4" fillId="34" borderId="0" xfId="57" applyNumberFormat="1" applyFont="1" applyFill="1" applyAlignment="1">
      <alignment horizontal="center"/>
      <protection/>
    </xf>
    <xf numFmtId="169" fontId="0" fillId="0" borderId="0" xfId="0" applyNumberFormat="1" applyFont="1" applyFill="1" applyBorder="1" applyAlignment="1">
      <alignment horizontal="center"/>
    </xf>
    <xf numFmtId="169" fontId="0" fillId="0" borderId="0" xfId="42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41" fontId="0" fillId="34" borderId="13" xfId="57" applyNumberFormat="1" applyFont="1" applyFill="1" applyBorder="1" applyAlignment="1">
      <alignment horizontal="center" wrapText="1"/>
      <protection/>
    </xf>
    <xf numFmtId="41" fontId="0" fillId="34" borderId="14" xfId="57" applyNumberFormat="1" applyFont="1" applyFill="1" applyBorder="1" applyAlignment="1">
      <alignment horizontal="center" wrapText="1"/>
      <protection/>
    </xf>
    <xf numFmtId="41" fontId="0" fillId="34" borderId="12" xfId="57" applyNumberFormat="1" applyFont="1" applyFill="1" applyBorder="1" applyAlignment="1">
      <alignment horizontal="center" wrapText="1"/>
      <protection/>
    </xf>
    <xf numFmtId="41" fontId="0" fillId="34" borderId="13" xfId="57" applyNumberFormat="1" applyFill="1" applyBorder="1" applyAlignment="1">
      <alignment horizontal="center" wrapText="1"/>
      <protection/>
    </xf>
    <xf numFmtId="41" fontId="0" fillId="34" borderId="12" xfId="57" applyNumberFormat="1" applyFill="1" applyBorder="1" applyAlignment="1">
      <alignment horizontal="center" wrapText="1"/>
      <protection/>
    </xf>
    <xf numFmtId="10" fontId="0" fillId="34" borderId="17" xfId="57" applyNumberFormat="1" applyFill="1" applyBorder="1" applyAlignment="1">
      <alignment horizontal="center" wrapText="1"/>
      <protection/>
    </xf>
    <xf numFmtId="10" fontId="0" fillId="34" borderId="18" xfId="57" applyNumberFormat="1" applyFill="1" applyBorder="1" applyAlignment="1">
      <alignment horizontal="center" wrapText="1"/>
      <protection/>
    </xf>
    <xf numFmtId="10" fontId="0" fillId="34" borderId="19" xfId="57" applyNumberForma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/>
    </xf>
    <xf numFmtId="41" fontId="30" fillId="0" borderId="0" xfId="0" applyNumberFormat="1" applyFont="1" applyFill="1" applyAlignment="1">
      <alignment/>
    </xf>
    <xf numFmtId="41" fontId="30" fillId="0" borderId="0" xfId="0" applyNumberFormat="1" applyFont="1" applyAlignment="1">
      <alignment/>
    </xf>
    <xf numFmtId="0" fontId="31" fillId="0" borderId="10" xfId="0" applyFont="1" applyBorder="1" applyAlignment="1">
      <alignment horizontal="center"/>
    </xf>
    <xf numFmtId="41" fontId="1" fillId="0" borderId="13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Ypsilanti%20Township\Special%20Projects\2011\tax%20projection\2010%20projections%20updated%20%208-10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Ypsilanti%20Township\Special%20Projects\2010\Tax%20Projections\2009%20Tax%20Revenues%20-%20millage%20projections%202010-2013%20rate%20final%20projections%206-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projection after losses"/>
      <sheetName val="2010 proj tax loss 8-4"/>
      <sheetName val="TV from Assessor after march BR"/>
      <sheetName val="table for memo analysis"/>
    </sheetNames>
    <sheetDataSet>
      <sheetData sheetId="0">
        <row r="3">
          <cell r="H3">
            <v>865328084</v>
          </cell>
        </row>
        <row r="4">
          <cell r="H4">
            <v>239727362</v>
          </cell>
          <cell r="I4">
            <v>36407532.5</v>
          </cell>
        </row>
        <row r="5">
          <cell r="H5">
            <v>54303509</v>
          </cell>
          <cell r="I5">
            <v>116869700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Base line"/>
      <sheetName val="2-tax val adj w loss-not used  "/>
      <sheetName val="3-losses by class"/>
      <sheetName val="GM break down-per assessor"/>
      <sheetName val="4-projections ind R+P Ad V"/>
      <sheetName val="5-losses by class-assumptions"/>
      <sheetName val="6-projections TV"/>
      <sheetName val="8-2. millage summary"/>
      <sheetName val="9-4.  Revenue summary"/>
      <sheetName val="Proforma Financials"/>
      <sheetName val="Financial Summary"/>
    </sheetNames>
    <sheetDataSet>
      <sheetData sheetId="6">
        <row r="25">
          <cell r="W25">
            <v>1317809367.3</v>
          </cell>
          <cell r="X25">
            <v>1071412319.1468917</v>
          </cell>
          <cell r="Y25">
            <v>794834458.6892086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K29"/>
  <sheetViews>
    <sheetView view="pageBreakPreview" zoomScale="60" workbookViewId="0" topLeftCell="A1">
      <selection activeCell="D24" sqref="D24"/>
    </sheetView>
  </sheetViews>
  <sheetFormatPr defaultColWidth="9.00390625" defaultRowHeight="16.5"/>
  <cols>
    <col min="1" max="1" width="15.875" style="55" customWidth="1"/>
    <col min="2" max="2" width="29.50390625" style="54" customWidth="1"/>
    <col min="3" max="3" width="13.125" style="51" customWidth="1"/>
    <col min="4" max="4" width="13.375" style="51" customWidth="1"/>
    <col min="5" max="5" width="11.50390625" style="51" customWidth="1"/>
    <col min="6" max="6" width="9.00390625" style="51" customWidth="1"/>
    <col min="7" max="7" width="11.125" style="51" customWidth="1"/>
    <col min="8" max="8" width="9.00390625" style="53" customWidth="1"/>
    <col min="9" max="9" width="14.875" style="51" customWidth="1"/>
    <col min="10" max="10" width="11.625" style="52" customWidth="1"/>
    <col min="11" max="11" width="14.25390625" style="51" customWidth="1"/>
    <col min="12" max="16384" width="9.00390625" style="51" customWidth="1"/>
  </cols>
  <sheetData>
    <row r="1" spans="1:11" ht="16.5">
      <c r="A1" s="80" t="s">
        <v>49</v>
      </c>
      <c r="B1" s="81"/>
      <c r="C1" s="81"/>
      <c r="D1" s="81"/>
      <c r="E1" s="81"/>
      <c r="F1" s="81"/>
      <c r="G1" s="81"/>
      <c r="H1" s="81"/>
      <c r="I1" s="82"/>
      <c r="J1" s="83" t="s">
        <v>84</v>
      </c>
      <c r="K1" s="84"/>
    </row>
    <row r="2" spans="1:7" ht="16.5">
      <c r="A2" s="73"/>
      <c r="B2" s="76"/>
      <c r="C2" s="75"/>
      <c r="D2" s="75"/>
      <c r="E2" s="75"/>
      <c r="F2" s="75"/>
      <c r="G2" s="74"/>
    </row>
    <row r="3" spans="1:11" ht="49.5">
      <c r="A3" s="73" t="s">
        <v>65</v>
      </c>
      <c r="B3" s="61" t="s">
        <v>15</v>
      </c>
      <c r="C3" s="72" t="s">
        <v>16</v>
      </c>
      <c r="D3" s="68" t="s">
        <v>17</v>
      </c>
      <c r="E3" s="68" t="s">
        <v>18</v>
      </c>
      <c r="F3" s="71" t="s">
        <v>19</v>
      </c>
      <c r="G3" s="70" t="s">
        <v>57</v>
      </c>
      <c r="H3" s="69" t="s">
        <v>58</v>
      </c>
      <c r="I3" s="67" t="s">
        <v>59</v>
      </c>
      <c r="J3" s="68" t="s">
        <v>60</v>
      </c>
      <c r="K3" s="67" t="s">
        <v>61</v>
      </c>
    </row>
    <row r="4" spans="1:11" ht="16.5">
      <c r="A4" s="59" t="s">
        <v>66</v>
      </c>
      <c r="B4" s="85" t="s">
        <v>83</v>
      </c>
      <c r="C4" s="52">
        <v>6000000</v>
      </c>
      <c r="D4" s="52">
        <v>10970900</v>
      </c>
      <c r="E4" s="52">
        <f>+D4-C4</f>
        <v>4970900</v>
      </c>
      <c r="F4" s="57">
        <v>0.5</v>
      </c>
      <c r="G4" s="52">
        <f>+F4*E4</f>
        <v>2485450</v>
      </c>
      <c r="H4" s="56" t="s">
        <v>44</v>
      </c>
      <c r="I4" s="52">
        <f>+D4-G4</f>
        <v>8485450</v>
      </c>
      <c r="J4" s="52">
        <v>6000000</v>
      </c>
      <c r="K4" s="52">
        <f>+I4-J4</f>
        <v>2485450</v>
      </c>
    </row>
    <row r="5" spans="1:11" ht="16.5">
      <c r="A5" s="59" t="s">
        <v>67</v>
      </c>
      <c r="B5" s="86"/>
      <c r="C5" s="52">
        <v>0</v>
      </c>
      <c r="D5" s="52">
        <v>780500</v>
      </c>
      <c r="E5" s="52">
        <f>+D5-C5</f>
        <v>780500</v>
      </c>
      <c r="F5" s="57">
        <v>0.5</v>
      </c>
      <c r="G5" s="52">
        <f>+F5*E5</f>
        <v>390250</v>
      </c>
      <c r="H5" s="56" t="s">
        <v>44</v>
      </c>
      <c r="I5" s="52">
        <f>+D5-G5</f>
        <v>390250</v>
      </c>
      <c r="J5" s="52">
        <v>0</v>
      </c>
      <c r="K5" s="52">
        <f>+I5-J5</f>
        <v>390250</v>
      </c>
    </row>
    <row r="6" spans="1:11" ht="16.5">
      <c r="A6" s="59" t="s">
        <v>68</v>
      </c>
      <c r="B6" s="87"/>
      <c r="C6" s="52">
        <v>0</v>
      </c>
      <c r="D6" s="52">
        <v>330904</v>
      </c>
      <c r="E6" s="52">
        <f>+D6-C6</f>
        <v>330904</v>
      </c>
      <c r="F6" s="57">
        <v>0.5</v>
      </c>
      <c r="G6" s="52">
        <f>+F6*E6</f>
        <v>165452</v>
      </c>
      <c r="H6" s="56" t="s">
        <v>44</v>
      </c>
      <c r="I6" s="52">
        <f>+D6-G6</f>
        <v>165452</v>
      </c>
      <c r="J6" s="52">
        <v>0</v>
      </c>
      <c r="K6" s="52">
        <f>+I6-J6</f>
        <v>165452</v>
      </c>
    </row>
    <row r="7" spans="1:11" ht="16.5">
      <c r="A7" s="59"/>
      <c r="B7" s="58"/>
      <c r="C7" s="60">
        <f>SUM(C4:C6)</f>
        <v>6000000</v>
      </c>
      <c r="D7" s="66">
        <f>SUM(D4:D6)</f>
        <v>12082304</v>
      </c>
      <c r="E7" s="66">
        <f>SUM(E4:E6)</f>
        <v>6082304</v>
      </c>
      <c r="F7" s="65"/>
      <c r="G7" s="63"/>
      <c r="H7" s="64"/>
      <c r="I7" s="63">
        <f>SUM(I4:I6)</f>
        <v>9041152</v>
      </c>
      <c r="J7" s="63">
        <f>SUM(J4:J6)</f>
        <v>6000000</v>
      </c>
      <c r="K7" s="62">
        <f>SUM(K4:K6)</f>
        <v>3041152</v>
      </c>
    </row>
    <row r="8" spans="1:11" ht="16.5">
      <c r="A8" s="59"/>
      <c r="B8" s="58"/>
      <c r="C8" s="52"/>
      <c r="D8" s="52"/>
      <c r="E8" s="52"/>
      <c r="F8" s="57"/>
      <c r="G8" s="52"/>
      <c r="H8" s="56"/>
      <c r="I8" s="52"/>
      <c r="K8" s="52"/>
    </row>
    <row r="9" spans="1:11" ht="16.5">
      <c r="A9" s="59" t="s">
        <v>69</v>
      </c>
      <c r="B9" s="58"/>
      <c r="C9" s="52">
        <v>33236400</v>
      </c>
      <c r="D9" s="52">
        <v>33236400</v>
      </c>
      <c r="E9" s="52">
        <f aca="true" t="shared" si="0" ref="E9:E21">+D9-C9</f>
        <v>0</v>
      </c>
      <c r="F9" s="57">
        <v>0</v>
      </c>
      <c r="G9" s="52">
        <f aca="true" t="shared" si="1" ref="G9:G20">+F9*E9</f>
        <v>0</v>
      </c>
      <c r="H9" s="56" t="s">
        <v>45</v>
      </c>
      <c r="I9" s="52">
        <f aca="true" t="shared" si="2" ref="I9:I20">+D9-G9</f>
        <v>33236400</v>
      </c>
      <c r="J9" s="52">
        <v>0</v>
      </c>
      <c r="K9" s="52">
        <f aca="true" t="shared" si="3" ref="K9:K20">+I9-J9</f>
        <v>33236400</v>
      </c>
    </row>
    <row r="10" spans="1:11" ht="16.5">
      <c r="A10" s="59" t="s">
        <v>70</v>
      </c>
      <c r="B10" s="58"/>
      <c r="C10" s="52">
        <v>20370700</v>
      </c>
      <c r="D10" s="52">
        <v>20370700</v>
      </c>
      <c r="E10" s="52">
        <f t="shared" si="0"/>
        <v>0</v>
      </c>
      <c r="F10" s="57">
        <v>0</v>
      </c>
      <c r="G10" s="52">
        <f t="shared" si="1"/>
        <v>0</v>
      </c>
      <c r="H10" s="56" t="s">
        <v>45</v>
      </c>
      <c r="I10" s="52">
        <f t="shared" si="2"/>
        <v>20370700</v>
      </c>
      <c r="J10" s="52">
        <v>0</v>
      </c>
      <c r="K10" s="52">
        <f t="shared" si="3"/>
        <v>20370700</v>
      </c>
    </row>
    <row r="11" spans="1:11" ht="16.5">
      <c r="A11" s="59" t="s">
        <v>71</v>
      </c>
      <c r="B11" s="58"/>
      <c r="C11" s="52">
        <v>7060000</v>
      </c>
      <c r="D11" s="52">
        <v>7060000</v>
      </c>
      <c r="E11" s="52">
        <f t="shared" si="0"/>
        <v>0</v>
      </c>
      <c r="F11" s="57">
        <v>0</v>
      </c>
      <c r="G11" s="52">
        <f t="shared" si="1"/>
        <v>0</v>
      </c>
      <c r="H11" s="56" t="s">
        <v>45</v>
      </c>
      <c r="I11" s="52">
        <f t="shared" si="2"/>
        <v>7060000</v>
      </c>
      <c r="J11" s="52">
        <v>0</v>
      </c>
      <c r="K11" s="52">
        <f t="shared" si="3"/>
        <v>7060000</v>
      </c>
    </row>
    <row r="12" spans="1:11" ht="16.5">
      <c r="A12" s="59" t="s">
        <v>72</v>
      </c>
      <c r="B12" s="58"/>
      <c r="C12" s="52">
        <v>4327100</v>
      </c>
      <c r="D12" s="52">
        <v>4327100</v>
      </c>
      <c r="E12" s="52">
        <f t="shared" si="0"/>
        <v>0</v>
      </c>
      <c r="F12" s="57">
        <v>0</v>
      </c>
      <c r="G12" s="52">
        <f t="shared" si="1"/>
        <v>0</v>
      </c>
      <c r="H12" s="56" t="s">
        <v>45</v>
      </c>
      <c r="I12" s="52">
        <f t="shared" si="2"/>
        <v>4327100</v>
      </c>
      <c r="J12" s="52">
        <v>0</v>
      </c>
      <c r="K12" s="52">
        <f t="shared" si="3"/>
        <v>4327100</v>
      </c>
    </row>
    <row r="13" spans="1:11" ht="16.5">
      <c r="A13" s="59" t="s">
        <v>73</v>
      </c>
      <c r="B13" s="58"/>
      <c r="C13" s="52">
        <v>93300</v>
      </c>
      <c r="D13" s="52">
        <v>93300</v>
      </c>
      <c r="E13" s="52">
        <f t="shared" si="0"/>
        <v>0</v>
      </c>
      <c r="F13" s="57">
        <v>0</v>
      </c>
      <c r="G13" s="52">
        <f t="shared" si="1"/>
        <v>0</v>
      </c>
      <c r="H13" s="56" t="s">
        <v>45</v>
      </c>
      <c r="I13" s="52">
        <f t="shared" si="2"/>
        <v>93300</v>
      </c>
      <c r="J13" s="52">
        <v>0</v>
      </c>
      <c r="K13" s="52">
        <f t="shared" si="3"/>
        <v>93300</v>
      </c>
    </row>
    <row r="14" spans="1:11" ht="16.5">
      <c r="A14" s="59" t="s">
        <v>74</v>
      </c>
      <c r="B14" s="58"/>
      <c r="C14" s="52">
        <v>11200</v>
      </c>
      <c r="D14" s="52">
        <v>11200</v>
      </c>
      <c r="E14" s="52">
        <f t="shared" si="0"/>
        <v>0</v>
      </c>
      <c r="F14" s="57">
        <v>0</v>
      </c>
      <c r="G14" s="52">
        <f t="shared" si="1"/>
        <v>0</v>
      </c>
      <c r="H14" s="56" t="s">
        <v>45</v>
      </c>
      <c r="I14" s="52">
        <f t="shared" si="2"/>
        <v>11200</v>
      </c>
      <c r="J14" s="52">
        <v>0</v>
      </c>
      <c r="K14" s="52">
        <f t="shared" si="3"/>
        <v>11200</v>
      </c>
    </row>
    <row r="15" spans="1:11" ht="16.5">
      <c r="A15" s="59" t="s">
        <v>75</v>
      </c>
      <c r="B15" s="58"/>
      <c r="C15" s="52">
        <v>21200</v>
      </c>
      <c r="D15" s="52">
        <v>21200</v>
      </c>
      <c r="E15" s="52">
        <f t="shared" si="0"/>
        <v>0</v>
      </c>
      <c r="F15" s="57">
        <v>0</v>
      </c>
      <c r="G15" s="52">
        <f t="shared" si="1"/>
        <v>0</v>
      </c>
      <c r="H15" s="56" t="s">
        <v>45</v>
      </c>
      <c r="I15" s="52">
        <f t="shared" si="2"/>
        <v>21200</v>
      </c>
      <c r="J15" s="52">
        <v>0</v>
      </c>
      <c r="K15" s="52">
        <f t="shared" si="3"/>
        <v>21200</v>
      </c>
    </row>
    <row r="16" spans="1:11" ht="16.5">
      <c r="A16" s="59" t="s">
        <v>76</v>
      </c>
      <c r="B16" s="58"/>
      <c r="C16" s="52">
        <v>11400</v>
      </c>
      <c r="D16" s="52">
        <v>11400</v>
      </c>
      <c r="E16" s="52">
        <f t="shared" si="0"/>
        <v>0</v>
      </c>
      <c r="F16" s="57">
        <v>0</v>
      </c>
      <c r="G16" s="52">
        <f t="shared" si="1"/>
        <v>0</v>
      </c>
      <c r="H16" s="56" t="s">
        <v>45</v>
      </c>
      <c r="I16" s="52">
        <f t="shared" si="2"/>
        <v>11400</v>
      </c>
      <c r="J16" s="52">
        <v>0</v>
      </c>
      <c r="K16" s="52">
        <f t="shared" si="3"/>
        <v>11400</v>
      </c>
    </row>
    <row r="17" spans="1:11" ht="16.5">
      <c r="A17" s="55" t="s">
        <v>77</v>
      </c>
      <c r="C17" s="52">
        <v>430600</v>
      </c>
      <c r="D17" s="52">
        <v>430600</v>
      </c>
      <c r="E17" s="52">
        <f t="shared" si="0"/>
        <v>0</v>
      </c>
      <c r="F17" s="57">
        <v>0</v>
      </c>
      <c r="G17" s="52">
        <f t="shared" si="1"/>
        <v>0</v>
      </c>
      <c r="H17" s="56" t="s">
        <v>45</v>
      </c>
      <c r="I17" s="52">
        <f t="shared" si="2"/>
        <v>430600</v>
      </c>
      <c r="J17" s="52">
        <v>0</v>
      </c>
      <c r="K17" s="52">
        <f t="shared" si="3"/>
        <v>430600</v>
      </c>
    </row>
    <row r="18" spans="1:11" ht="16.5">
      <c r="A18" s="55" t="s">
        <v>78</v>
      </c>
      <c r="C18" s="52">
        <v>702600</v>
      </c>
      <c r="D18" s="52">
        <v>702600</v>
      </c>
      <c r="E18" s="52">
        <f t="shared" si="0"/>
        <v>0</v>
      </c>
      <c r="F18" s="57">
        <v>0</v>
      </c>
      <c r="G18" s="52">
        <f t="shared" si="1"/>
        <v>0</v>
      </c>
      <c r="H18" s="56" t="s">
        <v>45</v>
      </c>
      <c r="I18" s="52">
        <f t="shared" si="2"/>
        <v>702600</v>
      </c>
      <c r="J18" s="52">
        <v>0</v>
      </c>
      <c r="K18" s="52">
        <f t="shared" si="3"/>
        <v>702600</v>
      </c>
    </row>
    <row r="19" spans="1:11" ht="16.5">
      <c r="A19" s="55" t="s">
        <v>79</v>
      </c>
      <c r="B19" s="61"/>
      <c r="C19" s="52">
        <v>7100</v>
      </c>
      <c r="D19" s="52">
        <v>7100</v>
      </c>
      <c r="E19" s="52">
        <f t="shared" si="0"/>
        <v>0</v>
      </c>
      <c r="F19" s="57">
        <v>0</v>
      </c>
      <c r="G19" s="52">
        <f t="shared" si="1"/>
        <v>0</v>
      </c>
      <c r="H19" s="56" t="s">
        <v>45</v>
      </c>
      <c r="I19" s="52">
        <f t="shared" si="2"/>
        <v>7100</v>
      </c>
      <c r="J19" s="52">
        <v>0</v>
      </c>
      <c r="K19" s="52">
        <f t="shared" si="3"/>
        <v>7100</v>
      </c>
    </row>
    <row r="20" spans="1:11" ht="16.5">
      <c r="A20" s="55" t="s">
        <v>80</v>
      </c>
      <c r="C20" s="52">
        <v>1260600</v>
      </c>
      <c r="D20" s="52">
        <v>1260600</v>
      </c>
      <c r="E20" s="52">
        <f t="shared" si="0"/>
        <v>0</v>
      </c>
      <c r="F20" s="57">
        <v>0</v>
      </c>
      <c r="G20" s="52">
        <f t="shared" si="1"/>
        <v>0</v>
      </c>
      <c r="H20" s="56" t="s">
        <v>45</v>
      </c>
      <c r="I20" s="52">
        <f t="shared" si="2"/>
        <v>1260600</v>
      </c>
      <c r="J20" s="52">
        <v>0</v>
      </c>
      <c r="K20" s="52">
        <f t="shared" si="3"/>
        <v>1260600</v>
      </c>
    </row>
    <row r="21" spans="3:11" ht="16.5">
      <c r="C21" s="60">
        <f>SUM(C9:C20)</f>
        <v>67532200</v>
      </c>
      <c r="D21" s="60">
        <f>SUM(D9:D20)</f>
        <v>67532200</v>
      </c>
      <c r="E21" s="52">
        <f t="shared" si="0"/>
        <v>0</v>
      </c>
      <c r="I21" s="60">
        <f>SUM(I9:I20)</f>
        <v>67532200</v>
      </c>
      <c r="J21" s="60">
        <f>SUM(J9:J20)</f>
        <v>0</v>
      </c>
      <c r="K21" s="60">
        <f>SUM(K9:K20)</f>
        <v>67532200</v>
      </c>
    </row>
    <row r="22" spans="1:8" ht="16.5">
      <c r="A22" s="59"/>
      <c r="B22" s="58"/>
      <c r="C22" s="52"/>
      <c r="D22" s="52"/>
      <c r="E22" s="52"/>
      <c r="F22" s="57"/>
      <c r="G22" s="52"/>
      <c r="H22" s="56"/>
    </row>
    <row r="27" ht="16.5">
      <c r="A27" s="55" t="s">
        <v>82</v>
      </c>
    </row>
    <row r="29" ht="16.5">
      <c r="A29" s="55" t="s">
        <v>81</v>
      </c>
    </row>
  </sheetData>
  <sheetProtection/>
  <mergeCells count="3">
    <mergeCell ref="A1:I1"/>
    <mergeCell ref="J1:K1"/>
    <mergeCell ref="B4:B6"/>
  </mergeCells>
  <printOptions gridLines="1"/>
  <pageMargins left="0.7" right="0.7" top="0.75" bottom="0.75" header="0.3" footer="0.3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1"/>
  <sheetViews>
    <sheetView zoomScalePageLayoutView="0" workbookViewId="0" topLeftCell="A1">
      <selection activeCell="A2" sqref="A2:Q11"/>
    </sheetView>
  </sheetViews>
  <sheetFormatPr defaultColWidth="9.00390625" defaultRowHeight="16.5"/>
  <cols>
    <col min="3" max="5" width="0" style="0" hidden="1" customWidth="1"/>
    <col min="6" max="6" width="3.00390625" style="0" hidden="1" customWidth="1"/>
    <col min="10" max="10" width="2.125" style="0" customWidth="1"/>
    <col min="14" max="14" width="1.4921875" style="0" customWidth="1"/>
  </cols>
  <sheetData>
    <row r="2" spans="1:17" ht="16.5">
      <c r="A2" s="89" t="s">
        <v>98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3:17" ht="16.5">
      <c r="C3" s="88" t="s">
        <v>90</v>
      </c>
      <c r="D3" s="88"/>
      <c r="E3" s="88"/>
      <c r="G3" s="88" t="s">
        <v>91</v>
      </c>
      <c r="H3" s="88"/>
      <c r="I3" s="88"/>
      <c r="K3" s="88" t="s">
        <v>92</v>
      </c>
      <c r="L3" s="88"/>
      <c r="M3" s="88"/>
      <c r="O3" s="88" t="s">
        <v>93</v>
      </c>
      <c r="P3" s="88"/>
      <c r="Q3" s="88"/>
    </row>
    <row r="4" spans="3:17" ht="16.5">
      <c r="C4" s="45" t="s">
        <v>40</v>
      </c>
      <c r="D4" s="45" t="s">
        <v>41</v>
      </c>
      <c r="E4" s="45" t="s">
        <v>42</v>
      </c>
      <c r="G4" s="45" t="s">
        <v>40</v>
      </c>
      <c r="H4" s="45" t="s">
        <v>41</v>
      </c>
      <c r="I4" s="45" t="s">
        <v>42</v>
      </c>
      <c r="K4" s="45" t="s">
        <v>40</v>
      </c>
      <c r="L4" s="45" t="s">
        <v>41</v>
      </c>
      <c r="M4" s="45" t="s">
        <v>42</v>
      </c>
      <c r="O4" s="45" t="s">
        <v>40</v>
      </c>
      <c r="P4" s="45" t="s">
        <v>41</v>
      </c>
      <c r="Q4" s="45" t="s">
        <v>42</v>
      </c>
    </row>
    <row r="5" spans="1:17" ht="16.5">
      <c r="A5" s="14" t="s">
        <v>36</v>
      </c>
      <c r="C5" s="12"/>
      <c r="D5" s="12"/>
      <c r="E5" s="12"/>
      <c r="G5" s="12"/>
      <c r="H5" s="12"/>
      <c r="I5" s="12"/>
      <c r="K5" s="12"/>
      <c r="L5" s="12"/>
      <c r="M5" s="12"/>
      <c r="O5" s="12"/>
      <c r="P5" s="12"/>
      <c r="Q5" s="12"/>
    </row>
    <row r="6" spans="1:17" ht="16.5">
      <c r="A6" s="15" t="s">
        <v>27</v>
      </c>
      <c r="C6" s="9">
        <v>0</v>
      </c>
      <c r="D6" s="9">
        <v>-0.02</v>
      </c>
      <c r="E6" s="9">
        <v>-0.08</v>
      </c>
      <c r="G6" s="9">
        <v>0.02</v>
      </c>
      <c r="H6" s="9">
        <v>0</v>
      </c>
      <c r="I6" s="9">
        <v>-0.05</v>
      </c>
      <c r="K6" s="9">
        <v>0.02</v>
      </c>
      <c r="L6" s="9">
        <v>0</v>
      </c>
      <c r="M6" s="9">
        <v>-0.05</v>
      </c>
      <c r="O6" s="9">
        <v>0.02</v>
      </c>
      <c r="P6" s="9">
        <v>0</v>
      </c>
      <c r="Q6" s="9">
        <v>-0.05</v>
      </c>
    </row>
    <row r="7" spans="1:17" ht="16.5">
      <c r="A7" s="15" t="s">
        <v>30</v>
      </c>
      <c r="C7" s="9">
        <v>0</v>
      </c>
      <c r="D7" s="9">
        <v>-0.1</v>
      </c>
      <c r="E7" s="9">
        <v>-0.12</v>
      </c>
      <c r="G7" s="9">
        <v>0.02</v>
      </c>
      <c r="H7" s="9">
        <v>0</v>
      </c>
      <c r="I7" s="9">
        <v>-0.05</v>
      </c>
      <c r="K7" s="9">
        <v>0.02</v>
      </c>
      <c r="L7" s="9">
        <v>0</v>
      </c>
      <c r="M7" s="9">
        <v>-0.05</v>
      </c>
      <c r="O7" s="9">
        <v>0.02</v>
      </c>
      <c r="P7" s="9">
        <v>0</v>
      </c>
      <c r="Q7" s="9">
        <v>-0.05</v>
      </c>
    </row>
    <row r="8" spans="1:17" ht="16.5">
      <c r="A8" s="15" t="s">
        <v>31</v>
      </c>
      <c r="C8" s="9">
        <v>0</v>
      </c>
      <c r="D8" s="9">
        <v>-0.05</v>
      </c>
      <c r="E8" s="9">
        <v>-0.08</v>
      </c>
      <c r="G8" s="9">
        <v>0</v>
      </c>
      <c r="H8" s="9">
        <v>-0.05</v>
      </c>
      <c r="I8" s="9">
        <v>-0.08</v>
      </c>
      <c r="K8" s="9">
        <v>0</v>
      </c>
      <c r="L8" s="9">
        <v>-0.05</v>
      </c>
      <c r="M8" s="9">
        <v>-0.08</v>
      </c>
      <c r="O8" s="9">
        <v>0</v>
      </c>
      <c r="P8" s="9">
        <v>-0.02</v>
      </c>
      <c r="Q8" s="9">
        <v>-0.08</v>
      </c>
    </row>
    <row r="9" spans="1:17" ht="16.5">
      <c r="A9" s="15" t="s">
        <v>32</v>
      </c>
      <c r="C9" s="9">
        <v>0</v>
      </c>
      <c r="D9" s="9">
        <v>-0.1</v>
      </c>
      <c r="E9" s="9">
        <v>-0.12</v>
      </c>
      <c r="G9" s="9">
        <v>0</v>
      </c>
      <c r="H9" s="9">
        <v>-0.08</v>
      </c>
      <c r="I9" s="9">
        <v>-0.12</v>
      </c>
      <c r="K9" s="9">
        <v>0</v>
      </c>
      <c r="L9" s="9">
        <v>0.03</v>
      </c>
      <c r="M9" s="9">
        <v>0.05</v>
      </c>
      <c r="O9" s="9">
        <v>0</v>
      </c>
      <c r="P9" s="9">
        <v>-0.03</v>
      </c>
      <c r="Q9" s="9">
        <v>-0.18</v>
      </c>
    </row>
    <row r="10" spans="1:17" ht="16.5">
      <c r="A10" s="15" t="s">
        <v>33</v>
      </c>
      <c r="C10" s="9">
        <v>0</v>
      </c>
      <c r="D10" s="9">
        <v>-0.25</v>
      </c>
      <c r="E10" s="9">
        <v>-0.4</v>
      </c>
      <c r="G10" s="9">
        <v>-0.4</v>
      </c>
      <c r="H10" s="9">
        <v>-0.4</v>
      </c>
      <c r="I10" s="9">
        <v>-0.5</v>
      </c>
      <c r="K10" s="9">
        <v>-0.6</v>
      </c>
      <c r="L10" s="9">
        <v>-0.6</v>
      </c>
      <c r="M10" s="9">
        <v>-0.6</v>
      </c>
      <c r="O10" s="9">
        <v>-0.4</v>
      </c>
      <c r="P10" s="9">
        <v>-0.4</v>
      </c>
      <c r="Q10" s="9">
        <v>-0.5</v>
      </c>
    </row>
    <row r="11" spans="1:17" ht="16.5">
      <c r="A11" s="15" t="s">
        <v>29</v>
      </c>
      <c r="C11" s="9">
        <v>0</v>
      </c>
      <c r="D11" s="9">
        <v>-0.05</v>
      </c>
      <c r="E11" s="9">
        <v>-0.05</v>
      </c>
      <c r="G11" s="9">
        <v>0</v>
      </c>
      <c r="H11" s="9">
        <v>0.01</v>
      </c>
      <c r="I11" s="9">
        <v>-0.05</v>
      </c>
      <c r="K11" s="9">
        <v>0.01</v>
      </c>
      <c r="L11" s="9">
        <v>0</v>
      </c>
      <c r="M11" s="9">
        <v>-0.05</v>
      </c>
      <c r="O11" s="9">
        <v>0</v>
      </c>
      <c r="P11" s="9">
        <v>0.01</v>
      </c>
      <c r="Q11" s="9">
        <v>-0.05</v>
      </c>
    </row>
  </sheetData>
  <sheetProtection/>
  <mergeCells count="5">
    <mergeCell ref="C3:E3"/>
    <mergeCell ref="G3:I3"/>
    <mergeCell ref="K3:M3"/>
    <mergeCell ref="O3:Q3"/>
    <mergeCell ref="A2:Q2"/>
  </mergeCells>
  <printOptions gridLines="1"/>
  <pageMargins left="0.34" right="0.31" top="1" bottom="1" header="0.5" footer="0.5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2" sqref="A2:S21"/>
    </sheetView>
  </sheetViews>
  <sheetFormatPr defaultColWidth="8.75390625" defaultRowHeight="16.5"/>
  <cols>
    <col min="1" max="1" width="24.25390625" style="6" customWidth="1"/>
    <col min="2" max="2" width="16.75390625" style="6" hidden="1" customWidth="1"/>
    <col min="3" max="3" width="14.50390625" style="6" hidden="1" customWidth="1"/>
    <col min="4" max="4" width="13.25390625" style="6" hidden="1" customWidth="1"/>
    <col min="5" max="5" width="12.00390625" style="6" hidden="1" customWidth="1"/>
    <col min="6" max="6" width="17.875" style="6" hidden="1" customWidth="1"/>
    <col min="7" max="7" width="0.6171875" style="6" hidden="1" customWidth="1"/>
    <col min="8" max="8" width="0.6171875" style="6" customWidth="1"/>
    <col min="9" max="9" width="15.00390625" style="6" hidden="1" customWidth="1"/>
    <col min="10" max="10" width="14.75390625" style="6" customWidth="1"/>
    <col min="11" max="11" width="15.50390625" style="6" hidden="1" customWidth="1"/>
    <col min="12" max="12" width="1.12109375" style="6" customWidth="1"/>
    <col min="13" max="13" width="15.00390625" style="6" customWidth="1"/>
    <col min="14" max="14" width="15.375" style="6" customWidth="1"/>
    <col min="15" max="15" width="15.50390625" style="6" customWidth="1"/>
    <col min="16" max="16" width="1.12109375" style="6" customWidth="1"/>
    <col min="17" max="17" width="15.00390625" style="6" customWidth="1"/>
    <col min="18" max="18" width="15.125" style="6" customWidth="1"/>
    <col min="19" max="19" width="15.50390625" style="6" customWidth="1"/>
    <col min="20" max="20" width="1.12109375" style="6" customWidth="1"/>
    <col min="21" max="21" width="15.00390625" style="6" customWidth="1"/>
    <col min="22" max="22" width="14.25390625" style="6" customWidth="1"/>
    <col min="23" max="23" width="15.50390625" style="6" customWidth="1"/>
    <col min="24" max="24" width="1.12109375" style="6" customWidth="1"/>
    <col min="25" max="16384" width="8.75390625" style="6" customWidth="1"/>
  </cols>
  <sheetData>
    <row r="1" spans="2:6" ht="16.5">
      <c r="B1" s="25"/>
      <c r="C1" s="25"/>
      <c r="D1" s="25"/>
      <c r="E1" s="25"/>
      <c r="F1" s="25"/>
    </row>
    <row r="2" spans="2:23" ht="16.5">
      <c r="B2" s="94" t="s">
        <v>50</v>
      </c>
      <c r="C2" s="95"/>
      <c r="D2" s="95"/>
      <c r="E2" s="95"/>
      <c r="F2" s="95"/>
      <c r="G2" s="95"/>
      <c r="I2" s="92" t="s">
        <v>107</v>
      </c>
      <c r="J2" s="93"/>
      <c r="K2" s="93"/>
      <c r="M2" s="92" t="s">
        <v>94</v>
      </c>
      <c r="N2" s="93"/>
      <c r="O2" s="93"/>
      <c r="Q2" s="92" t="s">
        <v>95</v>
      </c>
      <c r="R2" s="93"/>
      <c r="S2" s="93"/>
      <c r="U2" s="92" t="s">
        <v>96</v>
      </c>
      <c r="V2" s="93"/>
      <c r="W2" s="93"/>
    </row>
    <row r="3" spans="2:17" ht="16.5">
      <c r="B3" s="48" t="s">
        <v>51</v>
      </c>
      <c r="C3" s="46" t="s">
        <v>62</v>
      </c>
      <c r="D3"/>
      <c r="E3" s="26"/>
      <c r="F3" s="26"/>
      <c r="I3" s="6" t="s">
        <v>89</v>
      </c>
      <c r="Q3" s="6" t="s">
        <v>89</v>
      </c>
    </row>
    <row r="4" spans="2:23" ht="16.5">
      <c r="B4" s="49" t="s">
        <v>52</v>
      </c>
      <c r="C4" s="46" t="s">
        <v>63</v>
      </c>
      <c r="D4"/>
      <c r="E4" s="27"/>
      <c r="F4" s="26" t="s">
        <v>28</v>
      </c>
      <c r="I4" s="26" t="s">
        <v>40</v>
      </c>
      <c r="J4" s="26" t="s">
        <v>41</v>
      </c>
      <c r="K4" s="26" t="s">
        <v>42</v>
      </c>
      <c r="M4" s="26" t="s">
        <v>40</v>
      </c>
      <c r="N4" s="26" t="s">
        <v>41</v>
      </c>
      <c r="O4" s="26" t="s">
        <v>42</v>
      </c>
      <c r="Q4" s="26" t="s">
        <v>40</v>
      </c>
      <c r="R4" s="26" t="s">
        <v>41</v>
      </c>
      <c r="S4" s="26" t="s">
        <v>42</v>
      </c>
      <c r="U4" s="26" t="s">
        <v>40</v>
      </c>
      <c r="V4" s="26" t="s">
        <v>41</v>
      </c>
      <c r="W4" s="26" t="s">
        <v>42</v>
      </c>
    </row>
    <row r="5" spans="1:6" ht="16.5">
      <c r="A5" s="28" t="s">
        <v>35</v>
      </c>
      <c r="B5" s="50" t="s">
        <v>53</v>
      </c>
      <c r="C5" s="46" t="s">
        <v>64</v>
      </c>
      <c r="D5"/>
      <c r="E5" s="19"/>
      <c r="F5" s="19"/>
    </row>
    <row r="6" spans="1:23" ht="16.5">
      <c r="A6" s="6" t="s">
        <v>27</v>
      </c>
      <c r="B6" s="25">
        <f>+'[1]2010 projection after losses'!$H$3</f>
        <v>865328084</v>
      </c>
      <c r="C6" s="25">
        <v>0</v>
      </c>
      <c r="D6" s="25"/>
      <c r="E6" s="25"/>
      <c r="F6" s="29">
        <f>SUM(B6:E6)</f>
        <v>865328084</v>
      </c>
      <c r="I6" s="25">
        <f>+$F6*(1+'5-fut losses by class-assump'!C6)</f>
        <v>865328084</v>
      </c>
      <c r="J6" s="78">
        <v>865328084</v>
      </c>
      <c r="K6" s="25">
        <v>865328084</v>
      </c>
      <c r="M6" s="25">
        <f>+I6*(1+'5-fut losses by class-assump'!G6)</f>
        <v>882634645.6800001</v>
      </c>
      <c r="N6" s="25">
        <f>+J6*(1+'5-fut losses by class-assump'!H6)</f>
        <v>865328084</v>
      </c>
      <c r="O6" s="25">
        <f>+K6*(1+'5-fut losses by class-assump'!I6)</f>
        <v>822061679.8</v>
      </c>
      <c r="Q6" s="25">
        <f>+M6*(1+'5-fut losses by class-assump'!K6)</f>
        <v>900287338.5936</v>
      </c>
      <c r="R6" s="25">
        <f>+N6*(1+'5-fut losses by class-assump'!L6)</f>
        <v>865328084</v>
      </c>
      <c r="S6" s="25">
        <f>+O6*(1+'5-fut losses by class-assump'!M6)</f>
        <v>780958595.81</v>
      </c>
      <c r="U6" s="25">
        <f>+Q6*(1+'5-fut losses by class-assump'!O6)</f>
        <v>918293085.3654721</v>
      </c>
      <c r="V6" s="25">
        <f>+R6*(1+'5-fut losses by class-assump'!P6)</f>
        <v>865328084</v>
      </c>
      <c r="W6" s="25">
        <f>+S6*(1+'5-fut losses by class-assump'!Q6)</f>
        <v>741910666.0194999</v>
      </c>
    </row>
    <row r="7" spans="1:23" ht="16.5">
      <c r="A7" s="6" t="s">
        <v>30</v>
      </c>
      <c r="B7" s="25">
        <f>+'[1]2010 projection after losses'!$H$4</f>
        <v>239727362</v>
      </c>
      <c r="C7" s="25">
        <v>0</v>
      </c>
      <c r="D7" s="25"/>
      <c r="F7" s="29">
        <f>SUM(B7:E7)</f>
        <v>239727362</v>
      </c>
      <c r="I7" s="25">
        <f>+$F7*(1+'5-fut losses by class-assump'!C7)</f>
        <v>239727362</v>
      </c>
      <c r="J7" s="78">
        <v>239727362</v>
      </c>
      <c r="K7" s="25">
        <v>239727362</v>
      </c>
      <c r="M7" s="25">
        <f>+I7*(1+'5-fut losses by class-assump'!G7)</f>
        <v>244521909.24</v>
      </c>
      <c r="N7" s="25">
        <f>+J7*(1+'5-fut losses by class-assump'!H7)</f>
        <v>239727362</v>
      </c>
      <c r="O7" s="25">
        <f>+K7*(1+'5-fut losses by class-assump'!I7)</f>
        <v>227740993.89999998</v>
      </c>
      <c r="Q7" s="25">
        <f>+M7*(1+'5-fut losses by class-assump'!K7)</f>
        <v>249412347.4248</v>
      </c>
      <c r="R7" s="25">
        <f>+N7*(1+'5-fut losses by class-assump'!L7)</f>
        <v>239727362</v>
      </c>
      <c r="S7" s="25">
        <f>+O7*(1+'5-fut losses by class-assump'!M7)</f>
        <v>216353944.20499995</v>
      </c>
      <c r="U7" s="25">
        <f>+Q7*(1+'5-fut losses by class-assump'!O7)</f>
        <v>254400594.37329602</v>
      </c>
      <c r="V7" s="25">
        <f>+R7*(1+'5-fut losses by class-assump'!P7)</f>
        <v>239727362</v>
      </c>
      <c r="W7" s="25">
        <f>+S7*(1+'5-fut losses by class-assump'!Q7)</f>
        <v>205536246.99474993</v>
      </c>
    </row>
    <row r="8" spans="1:23" ht="16.5">
      <c r="A8" s="6" t="s">
        <v>31</v>
      </c>
      <c r="B8" s="25">
        <f>+'[1]2010 projection after losses'!$I$4</f>
        <v>36407532.5</v>
      </c>
      <c r="C8" s="25">
        <v>0</v>
      </c>
      <c r="D8" s="25"/>
      <c r="E8" s="25"/>
      <c r="F8" s="29">
        <f>SUM(B8:E8)</f>
        <v>36407532.5</v>
      </c>
      <c r="I8" s="25">
        <f>+$F8*(1+'5-fut losses by class-assump'!C8)</f>
        <v>36407532.5</v>
      </c>
      <c r="J8" s="78">
        <v>36407532.5</v>
      </c>
      <c r="K8" s="25">
        <v>36407532.5</v>
      </c>
      <c r="M8" s="25">
        <f>+I8*(1+'5-fut losses by class-assump'!G8)</f>
        <v>36407532.5</v>
      </c>
      <c r="N8" s="25">
        <f>+J8*(1+'5-fut losses by class-assump'!H8)</f>
        <v>34587155.875</v>
      </c>
      <c r="O8" s="25">
        <f>+K8*(1+'5-fut losses by class-assump'!I8)</f>
        <v>33494929.900000002</v>
      </c>
      <c r="Q8" s="25">
        <f>+M8*(1+'5-fut losses by class-assump'!K8)</f>
        <v>36407532.5</v>
      </c>
      <c r="R8" s="25">
        <f>+N8*(1+'5-fut losses by class-assump'!L8)</f>
        <v>32857798.081249997</v>
      </c>
      <c r="S8" s="25">
        <f>+O8*(1+'5-fut losses by class-assump'!M8)</f>
        <v>30815335.508000005</v>
      </c>
      <c r="U8" s="25">
        <f>+Q8*(1+'5-fut losses by class-assump'!O8)</f>
        <v>36407532.5</v>
      </c>
      <c r="V8" s="25">
        <f>+R8*(1+'5-fut losses by class-assump'!P8)</f>
        <v>32200642.119624995</v>
      </c>
      <c r="W8" s="25">
        <f>+S8*(1+'5-fut losses by class-assump'!Q8)</f>
        <v>28350108.667360004</v>
      </c>
    </row>
    <row r="9" spans="1:23" ht="16.5">
      <c r="A9" s="6" t="s">
        <v>32</v>
      </c>
      <c r="B9" s="25">
        <f>+'[1]2010 projection after losses'!$H$5</f>
        <v>54303509</v>
      </c>
      <c r="C9" s="8">
        <f>-'GM Losses after Closure '!K7</f>
        <v>-3041152</v>
      </c>
      <c r="E9" s="25"/>
      <c r="F9" s="29">
        <f>SUM(B9:E9)</f>
        <v>51262357</v>
      </c>
      <c r="I9" s="25">
        <f>+$F9*(1+'5-fut losses by class-assump'!C9)</f>
        <v>51262357</v>
      </c>
      <c r="J9" s="78">
        <v>51262357</v>
      </c>
      <c r="K9" s="25">
        <v>51262357</v>
      </c>
      <c r="M9" s="25">
        <f>+I9*(1+'5-fut losses by class-assump'!G9)</f>
        <v>51262357</v>
      </c>
      <c r="N9" s="25">
        <f>+J9*(1+'5-fut losses by class-assump'!H9)</f>
        <v>47161368.440000005</v>
      </c>
      <c r="O9" s="25">
        <f>+K9*(1+'5-fut losses by class-assump'!I9)</f>
        <v>45110874.160000004</v>
      </c>
      <c r="Q9" s="25">
        <f>+M9*(1+'5-fut losses by class-assump'!K9)</f>
        <v>51262357</v>
      </c>
      <c r="R9" s="25">
        <f>+N9*(1+'5-fut losses by class-assump'!L9)</f>
        <v>48576209.493200004</v>
      </c>
      <c r="S9" s="25">
        <f>+O9*(1+'5-fut losses by class-assump'!M9)</f>
        <v>47366417.86800001</v>
      </c>
      <c r="U9" s="25">
        <f>+Q9*(1+'5-fut losses by class-assump'!O9)</f>
        <v>51262357</v>
      </c>
      <c r="V9" s="25">
        <f>+R9*(1+'5-fut losses by class-assump'!P9)</f>
        <v>47118923.208404005</v>
      </c>
      <c r="W9" s="25">
        <f>+S9*(1+'5-fut losses by class-assump'!Q9)</f>
        <v>38840462.65176001</v>
      </c>
    </row>
    <row r="10" spans="1:23" ht="16.5">
      <c r="A10" s="6" t="s">
        <v>33</v>
      </c>
      <c r="B10" s="25">
        <f>+'[1]2010 projection after losses'!$I$5</f>
        <v>116869700</v>
      </c>
      <c r="C10" s="8">
        <f>-'GM Losses after Closure '!K21</f>
        <v>-67532200</v>
      </c>
      <c r="E10" s="25"/>
      <c r="F10" s="29">
        <f>SUM(B10:E10)</f>
        <v>49337500</v>
      </c>
      <c r="I10" s="25">
        <f>+$F10*(1+'5-fut losses by class-assump'!C10)</f>
        <v>49337500</v>
      </c>
      <c r="J10" s="78">
        <v>49337500</v>
      </c>
      <c r="K10" s="25">
        <v>49337500</v>
      </c>
      <c r="M10" s="25">
        <f>+I10*(1+'5-fut losses by class-assump'!G10)</f>
        <v>29602500</v>
      </c>
      <c r="N10" s="25">
        <f>+J10*(1+'5-fut losses by class-assump'!H10)</f>
        <v>29602500</v>
      </c>
      <c r="O10" s="25">
        <f>+K10*(1+'5-fut losses by class-assump'!I10)</f>
        <v>24668750</v>
      </c>
      <c r="Q10" s="25">
        <f>+M10*(1+'5-fut losses by class-assump'!K10)</f>
        <v>11841000</v>
      </c>
      <c r="R10" s="25">
        <f>+N10*(1+'5-fut losses by class-assump'!L10)</f>
        <v>11841000</v>
      </c>
      <c r="S10" s="25">
        <f>+O10*(1+'5-fut losses by class-assump'!M10)</f>
        <v>9867500</v>
      </c>
      <c r="U10" s="25">
        <f>+Q10*(1+'5-fut losses by class-assump'!O10)</f>
        <v>7104600</v>
      </c>
      <c r="V10" s="25">
        <f>+R10*(1+'5-fut losses by class-assump'!P10)</f>
        <v>7104600</v>
      </c>
      <c r="W10" s="25">
        <f>+S10*(1+'5-fut losses by class-assump'!Q10)</f>
        <v>4933750</v>
      </c>
    </row>
    <row r="11" ht="16.5">
      <c r="F11" s="29"/>
    </row>
    <row r="12" spans="2:23" ht="16.5">
      <c r="B12" s="30">
        <f>SUM(B6:B10)</f>
        <v>1312636187.5</v>
      </c>
      <c r="C12" s="31">
        <f>SUM(C6:C10)</f>
        <v>-70573352</v>
      </c>
      <c r="D12" s="31"/>
      <c r="E12" s="31">
        <f>SUM(E6:E10)</f>
        <v>0</v>
      </c>
      <c r="F12" s="18">
        <f>SUM(F6:F10)</f>
        <v>1242062835.5</v>
      </c>
      <c r="I12" s="18">
        <f>SUM(I6:I10)</f>
        <v>1242062835.5</v>
      </c>
      <c r="J12" s="18">
        <f>SUM(J6:J10)</f>
        <v>1242062835.5</v>
      </c>
      <c r="K12" s="18">
        <f>SUM(K6:K10)</f>
        <v>1242062835.5</v>
      </c>
      <c r="M12" s="18">
        <f>SUM(M6:M10)</f>
        <v>1244428944.42</v>
      </c>
      <c r="N12" s="18">
        <f>SUM(N6:N10)</f>
        <v>1216406470.315</v>
      </c>
      <c r="O12" s="18">
        <f>SUM(O6:O10)</f>
        <v>1153077227.76</v>
      </c>
      <c r="Q12" s="18">
        <f>SUM(Q6:Q10)</f>
        <v>1249210575.5184</v>
      </c>
      <c r="R12" s="18">
        <f>SUM(R6:R10)</f>
        <v>1198330453.57445</v>
      </c>
      <c r="S12" s="18">
        <f>SUM(S6:S10)</f>
        <v>1085361793.3909998</v>
      </c>
      <c r="U12" s="18">
        <f>SUM(U6:U10)</f>
        <v>1267468169.238768</v>
      </c>
      <c r="V12" s="18">
        <f>SUM(V6:V10)</f>
        <v>1191479611.3280292</v>
      </c>
      <c r="W12" s="18">
        <f>SUM(W6:W10)</f>
        <v>1019571234.3333697</v>
      </c>
    </row>
    <row r="13" spans="2:6" ht="16.5">
      <c r="B13" s="25"/>
      <c r="C13" s="25"/>
      <c r="D13" s="25"/>
      <c r="E13" s="25"/>
      <c r="F13" s="25"/>
    </row>
    <row r="14" spans="1:23" ht="16.5">
      <c r="A14" s="6" t="s">
        <v>34</v>
      </c>
      <c r="B14" s="25">
        <f>+B12</f>
        <v>1312636187.5</v>
      </c>
      <c r="C14" s="25"/>
      <c r="D14" s="25"/>
      <c r="E14" s="25"/>
      <c r="F14" s="25">
        <f>+F12</f>
        <v>1242062835.5</v>
      </c>
      <c r="I14" s="25">
        <f>+I12</f>
        <v>1242062835.5</v>
      </c>
      <c r="J14" s="25">
        <f>+J12</f>
        <v>1242062835.5</v>
      </c>
      <c r="K14" s="25">
        <f>+K12</f>
        <v>1242062835.5</v>
      </c>
      <c r="M14" s="25">
        <f>+M12</f>
        <v>1244428944.42</v>
      </c>
      <c r="N14" s="25">
        <f>+N12</f>
        <v>1216406470.315</v>
      </c>
      <c r="O14" s="25">
        <f>+O12</f>
        <v>1153077227.76</v>
      </c>
      <c r="Q14" s="25">
        <f>+Q12</f>
        <v>1249210575.5184</v>
      </c>
      <c r="R14" s="25">
        <f>+R12</f>
        <v>1198330453.57445</v>
      </c>
      <c r="S14" s="25">
        <f>+S12</f>
        <v>1085361793.3909998</v>
      </c>
      <c r="U14" s="25">
        <f>+U12</f>
        <v>1267468169.238768</v>
      </c>
      <c r="V14" s="25">
        <f>+V12</f>
        <v>1191479611.3280292</v>
      </c>
      <c r="W14" s="25">
        <f>+W12</f>
        <v>1019571234.3333697</v>
      </c>
    </row>
    <row r="15" spans="2:23" ht="16.5" hidden="1">
      <c r="B15" s="25"/>
      <c r="C15" s="25"/>
      <c r="D15" s="25"/>
      <c r="E15" s="25"/>
      <c r="F15" s="47"/>
      <c r="I15" s="47"/>
      <c r="J15" s="47"/>
      <c r="K15" s="47"/>
      <c r="M15" s="47"/>
      <c r="N15" s="47"/>
      <c r="O15" s="47"/>
      <c r="Q15" s="47"/>
      <c r="R15" s="47"/>
      <c r="S15" s="47"/>
      <c r="U15" s="47"/>
      <c r="V15" s="47"/>
      <c r="W15" s="47"/>
    </row>
    <row r="16" spans="1:23" ht="16.5" hidden="1">
      <c r="A16" s="6" t="s">
        <v>54</v>
      </c>
      <c r="B16" s="25">
        <v>-3736000</v>
      </c>
      <c r="C16" s="25"/>
      <c r="D16" s="25"/>
      <c r="E16" s="25"/>
      <c r="F16" s="47"/>
      <c r="I16" s="47">
        <v>0</v>
      </c>
      <c r="J16" s="47">
        <v>0</v>
      </c>
      <c r="K16" s="47">
        <v>0</v>
      </c>
      <c r="M16" s="47">
        <v>0</v>
      </c>
      <c r="N16" s="47">
        <v>0</v>
      </c>
      <c r="O16" s="47">
        <v>0</v>
      </c>
      <c r="Q16" s="47">
        <f>+$B$16</f>
        <v>-3736000</v>
      </c>
      <c r="R16" s="47">
        <f>+$B$16</f>
        <v>-3736000</v>
      </c>
      <c r="S16" s="47">
        <f>+$B$16</f>
        <v>-3736000</v>
      </c>
      <c r="U16" s="47">
        <f>+$B$16</f>
        <v>-3736000</v>
      </c>
      <c r="V16" s="47">
        <f>+$B$16</f>
        <v>-3736000</v>
      </c>
      <c r="W16" s="47">
        <f>+$B$16</f>
        <v>-3736000</v>
      </c>
    </row>
    <row r="17" spans="1:23" ht="16.5" hidden="1">
      <c r="A17" s="6" t="s">
        <v>55</v>
      </c>
      <c r="B17" s="25">
        <v>-2916900</v>
      </c>
      <c r="C17" s="25"/>
      <c r="D17" s="25"/>
      <c r="E17" s="25"/>
      <c r="F17" s="25"/>
      <c r="I17" s="29">
        <v>0</v>
      </c>
      <c r="J17" s="29">
        <v>0</v>
      </c>
      <c r="K17" s="29">
        <v>0</v>
      </c>
      <c r="M17" s="29">
        <v>0</v>
      </c>
      <c r="N17" s="29">
        <v>0</v>
      </c>
      <c r="O17" s="29">
        <v>0</v>
      </c>
      <c r="Q17" s="29">
        <v>0</v>
      </c>
      <c r="R17" s="29">
        <v>0</v>
      </c>
      <c r="S17" s="29">
        <v>0</v>
      </c>
      <c r="U17" s="29">
        <v>0</v>
      </c>
      <c r="V17" s="29">
        <v>0</v>
      </c>
      <c r="W17" s="29">
        <v>0</v>
      </c>
    </row>
    <row r="18" spans="2:6" ht="16.5" hidden="1">
      <c r="B18" s="25"/>
      <c r="C18" s="25"/>
      <c r="D18" s="25"/>
      <c r="E18" s="25"/>
      <c r="F18" s="25"/>
    </row>
    <row r="19" spans="1:23" ht="16.5" hidden="1">
      <c r="A19" s="6" t="s">
        <v>56</v>
      </c>
      <c r="B19" s="25">
        <f>+B14+B16+B17</f>
        <v>1305983287.5</v>
      </c>
      <c r="C19" s="25"/>
      <c r="D19" s="25"/>
      <c r="E19" s="25"/>
      <c r="F19" s="25"/>
      <c r="I19" s="25">
        <f>+I14+I16+I17</f>
        <v>1242062835.5</v>
      </c>
      <c r="J19" s="25">
        <f>+J14+J16+J17</f>
        <v>1242062835.5</v>
      </c>
      <c r="K19" s="25">
        <f>+K14+K16+K17</f>
        <v>1242062835.5</v>
      </c>
      <c r="M19" s="25">
        <f>+M14+M16+M17</f>
        <v>1244428944.42</v>
      </c>
      <c r="N19" s="25">
        <f>+N14+N16+N17</f>
        <v>1216406470.315</v>
      </c>
      <c r="O19" s="25">
        <f>+O14+O16+O17</f>
        <v>1153077227.76</v>
      </c>
      <c r="Q19" s="25">
        <f aca="true" t="shared" si="0" ref="Q19:W19">+Q14+Q16+Q17</f>
        <v>1245474575.5184</v>
      </c>
      <c r="R19" s="25">
        <f t="shared" si="0"/>
        <v>1194594453.57445</v>
      </c>
      <c r="S19" s="25">
        <f t="shared" si="0"/>
        <v>1081625793.3909998</v>
      </c>
      <c r="T19" s="25">
        <f t="shared" si="0"/>
        <v>0</v>
      </c>
      <c r="U19" s="25">
        <f t="shared" si="0"/>
        <v>1263732169.238768</v>
      </c>
      <c r="V19" s="25">
        <f t="shared" si="0"/>
        <v>1187743611.3280292</v>
      </c>
      <c r="W19" s="25">
        <f t="shared" si="0"/>
        <v>1015835234.3333697</v>
      </c>
    </row>
    <row r="20" spans="1:23" ht="16.5">
      <c r="A20" s="79" t="s">
        <v>108</v>
      </c>
      <c r="I20" s="29">
        <v>0</v>
      </c>
      <c r="J20" s="29">
        <v>0</v>
      </c>
      <c r="K20" s="29">
        <v>0</v>
      </c>
      <c r="M20" s="29">
        <f>+M14-I14</f>
        <v>2366108.9200000763</v>
      </c>
      <c r="N20" s="29">
        <f>+N14-J14</f>
        <v>-25656365.184999943</v>
      </c>
      <c r="O20" s="29">
        <f>+O14-K14</f>
        <v>-88985607.74000001</v>
      </c>
      <c r="Q20" s="29">
        <f>+Q14-M14</f>
        <v>4781631.098399878</v>
      </c>
      <c r="R20" s="29">
        <f>+R14-N14</f>
        <v>-18076016.74055004</v>
      </c>
      <c r="S20" s="29">
        <f>+S14-O14</f>
        <v>-67715434.3690002</v>
      </c>
      <c r="U20" s="29">
        <f>+U14-Q14</f>
        <v>18257593.720368147</v>
      </c>
      <c r="V20" s="29">
        <f>+V14-R14</f>
        <v>-6850842.24642086</v>
      </c>
      <c r="W20" s="29">
        <f>+W14-S14</f>
        <v>-65790559.05763006</v>
      </c>
    </row>
    <row r="21" spans="1:23" ht="16.5">
      <c r="A21" s="6" t="s">
        <v>43</v>
      </c>
      <c r="I21" s="32">
        <f>+I20/F14</f>
        <v>0</v>
      </c>
      <c r="J21" s="32">
        <f>+J20/F14</f>
        <v>0</v>
      </c>
      <c r="K21" s="33">
        <f>+K20/F14</f>
        <v>0</v>
      </c>
      <c r="M21" s="32">
        <f>+M20/I14</f>
        <v>0.0019049832684572554</v>
      </c>
      <c r="N21" s="32">
        <f>+N20/J14</f>
        <v>-0.020656253815590428</v>
      </c>
      <c r="O21" s="32">
        <f>+O20/K14</f>
        <v>-0.07164340256922534</v>
      </c>
      <c r="Q21" s="32">
        <f>+Q20/M14</f>
        <v>0.003842429991556076</v>
      </c>
      <c r="R21" s="32">
        <f>+R20/N14</f>
        <v>-0.0148601780586296</v>
      </c>
      <c r="S21" s="32">
        <f>+S20/O14</f>
        <v>-0.05872584484262697</v>
      </c>
      <c r="U21" s="32">
        <f>+U20/Q14</f>
        <v>0.014615305120028762</v>
      </c>
      <c r="V21" s="32">
        <f>+V20/R14</f>
        <v>-0.005716989187736795</v>
      </c>
      <c r="W21" s="32">
        <f>+W20/S14</f>
        <v>-0.06061624746535474</v>
      </c>
    </row>
    <row r="23" spans="9:11" ht="16.5">
      <c r="I23" s="92" t="s">
        <v>37</v>
      </c>
      <c r="J23" s="93"/>
      <c r="K23" s="93"/>
    </row>
    <row r="24" spans="9:11" ht="16.5">
      <c r="I24" s="26" t="s">
        <v>40</v>
      </c>
      <c r="J24" s="26" t="s">
        <v>41</v>
      </c>
      <c r="K24" s="26" t="s">
        <v>42</v>
      </c>
    </row>
    <row r="25" spans="5:11" ht="16.5">
      <c r="E25" s="6" t="s">
        <v>88</v>
      </c>
      <c r="I25" s="77">
        <f>+I14</f>
        <v>1242062835.5</v>
      </c>
      <c r="J25" s="77">
        <f>+J14</f>
        <v>1242062835.5</v>
      </c>
      <c r="K25" s="77">
        <f>+K14</f>
        <v>1242062835.5</v>
      </c>
    </row>
    <row r="26" spans="5:24" ht="16.5">
      <c r="E26" s="6" t="s">
        <v>85</v>
      </c>
      <c r="I26" s="25">
        <v>1317809367</v>
      </c>
      <c r="J26" s="25">
        <v>1186017342</v>
      </c>
      <c r="K26" s="25">
        <v>1035614649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</row>
    <row r="27" spans="3:11" ht="16.5">
      <c r="C27" s="29"/>
      <c r="E27" s="6" t="s">
        <v>86</v>
      </c>
      <c r="I27" s="29">
        <f>+I25-I26</f>
        <v>-75746531.5</v>
      </c>
      <c r="J27" s="29">
        <f>+J25-J26</f>
        <v>56045493.5</v>
      </c>
      <c r="K27" s="29">
        <f>+K25-K26</f>
        <v>206448186.5</v>
      </c>
    </row>
    <row r="28" spans="5:11" ht="16.5">
      <c r="E28" s="6" t="s">
        <v>87</v>
      </c>
      <c r="I28" s="32">
        <f>+I27/I25</f>
        <v>-0.06098446015374719</v>
      </c>
      <c r="J28" s="32">
        <f>+J27/J25</f>
        <v>0.04512291318775233</v>
      </c>
      <c r="K28" s="32">
        <f>+K27/K25</f>
        <v>0.1662139632548405</v>
      </c>
    </row>
    <row r="30" spans="9:11" ht="16.5">
      <c r="I30" s="92" t="s">
        <v>38</v>
      </c>
      <c r="J30" s="93"/>
      <c r="K30" s="93"/>
    </row>
    <row r="31" spans="9:11" ht="16.5">
      <c r="I31" s="26" t="s">
        <v>40</v>
      </c>
      <c r="J31" s="26" t="s">
        <v>41</v>
      </c>
      <c r="K31" s="26" t="s">
        <v>42</v>
      </c>
    </row>
    <row r="32" spans="5:11" ht="16.5">
      <c r="E32" s="6" t="s">
        <v>88</v>
      </c>
      <c r="I32" s="29">
        <f>+M14</f>
        <v>1244428944.42</v>
      </c>
      <c r="J32" s="29">
        <f>+N14</f>
        <v>1216406470.315</v>
      </c>
      <c r="K32" s="29">
        <f>+O14</f>
        <v>1153077227.76</v>
      </c>
    </row>
    <row r="33" spans="5:11" ht="16.5">
      <c r="E33" s="6" t="s">
        <v>85</v>
      </c>
      <c r="I33" s="25">
        <v>1317809367</v>
      </c>
      <c r="J33" s="25">
        <v>1127245535</v>
      </c>
      <c r="K33" s="25">
        <v>906541891</v>
      </c>
    </row>
    <row r="34" spans="5:11" ht="16.5">
      <c r="E34" s="6" t="s">
        <v>86</v>
      </c>
      <c r="I34" s="25">
        <f>+I32-I33</f>
        <v>-73380422.57999992</v>
      </c>
      <c r="J34" s="25">
        <f>+J32-J33</f>
        <v>89160935.31500006</v>
      </c>
      <c r="K34" s="25">
        <f>+K32-K33</f>
        <v>246535336.76</v>
      </c>
    </row>
    <row r="35" spans="5:11" ht="16.5">
      <c r="E35" s="6" t="s">
        <v>87</v>
      </c>
      <c r="I35" s="32">
        <f>+I34/I32</f>
        <v>-0.05896714545980033</v>
      </c>
      <c r="J35" s="32">
        <f>+J34/J32</f>
        <v>0.07329863618031478</v>
      </c>
      <c r="K35" s="32">
        <f>+K34/K32</f>
        <v>0.21380643969435284</v>
      </c>
    </row>
    <row r="37" spans="9:11" ht="16.5">
      <c r="I37" s="92" t="s">
        <v>39</v>
      </c>
      <c r="J37" s="93"/>
      <c r="K37" s="93"/>
    </row>
    <row r="38" spans="9:11" ht="16.5">
      <c r="I38" s="26" t="s">
        <v>40</v>
      </c>
      <c r="J38" s="26" t="s">
        <v>41</v>
      </c>
      <c r="K38" s="26" t="s">
        <v>42</v>
      </c>
    </row>
    <row r="39" spans="5:11" ht="16.5">
      <c r="E39" s="6" t="s">
        <v>88</v>
      </c>
      <c r="I39" s="29">
        <f>+Q14</f>
        <v>1249210575.5184</v>
      </c>
      <c r="J39" s="29">
        <f>+R14</f>
        <v>1198330453.57445</v>
      </c>
      <c r="K39" s="29">
        <f>+S14</f>
        <v>1085361793.3909998</v>
      </c>
    </row>
    <row r="40" spans="5:11" ht="16.5">
      <c r="E40" s="6" t="s">
        <v>85</v>
      </c>
      <c r="I40" s="25">
        <f>+'[2]6-projections TV'!$W$25</f>
        <v>1317809367.3</v>
      </c>
      <c r="J40" s="25">
        <f>+'[2]6-projections TV'!$X$25</f>
        <v>1071412319.1468917</v>
      </c>
      <c r="K40" s="25">
        <f>+'[2]6-projections TV'!$Y$25</f>
        <v>794834458.6892086</v>
      </c>
    </row>
    <row r="41" spans="5:11" ht="16.5">
      <c r="E41" s="6" t="s">
        <v>86</v>
      </c>
      <c r="I41" s="29">
        <f>+I39-I40</f>
        <v>-68598791.7816</v>
      </c>
      <c r="J41" s="29">
        <f>+J39-J40</f>
        <v>126918134.4275583</v>
      </c>
      <c r="K41" s="29">
        <f>+K39-K40</f>
        <v>290527334.70179117</v>
      </c>
    </row>
    <row r="42" spans="5:11" ht="16.5">
      <c r="E42" s="6" t="s">
        <v>87</v>
      </c>
      <c r="I42" s="32">
        <f>+I41/I39</f>
        <v>-0.05491371360919894</v>
      </c>
      <c r="J42" s="32">
        <f>+J41/J39</f>
        <v>0.1059124668399935</v>
      </c>
      <c r="K42" s="32">
        <f>+K41/K39</f>
        <v>0.2676778715363617</v>
      </c>
    </row>
    <row r="45" spans="9:11" ht="16.5">
      <c r="I45" s="26"/>
      <c r="J45" s="26"/>
      <c r="K45" s="26"/>
    </row>
  </sheetData>
  <sheetProtection/>
  <mergeCells count="8">
    <mergeCell ref="I30:K30"/>
    <mergeCell ref="I37:K37"/>
    <mergeCell ref="B2:G2"/>
    <mergeCell ref="U2:W2"/>
    <mergeCell ref="Q2:S2"/>
    <mergeCell ref="M2:O2"/>
    <mergeCell ref="I2:K2"/>
    <mergeCell ref="I23:K23"/>
  </mergeCells>
  <printOptions gridLines="1"/>
  <pageMargins left="0.31" right="0.17" top="1" bottom="1" header="0.5" footer="0.5"/>
  <pageSetup horizontalDpi="600" verticalDpi="600" orientation="landscape" scale="75" r:id="rId1"/>
  <colBreaks count="2" manualBreakCount="2">
    <brk id="7" min="1" max="33" man="1"/>
    <brk id="19" min="1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O24"/>
  <sheetViews>
    <sheetView zoomScalePageLayoutView="0" workbookViewId="0" topLeftCell="A1">
      <selection activeCell="A1" sqref="A1:F25"/>
    </sheetView>
  </sheetViews>
  <sheetFormatPr defaultColWidth="8.75390625" defaultRowHeight="16.5"/>
  <cols>
    <col min="1" max="1" width="25.875" style="6" customWidth="1"/>
    <col min="2" max="2" width="21.25390625" style="6" customWidth="1"/>
    <col min="3" max="3" width="12.625" style="6" customWidth="1"/>
    <col min="4" max="4" width="10.875" style="6" customWidth="1"/>
    <col min="5" max="5" width="11.375" style="6" customWidth="1"/>
    <col min="6" max="6" width="15.625" style="6" customWidth="1"/>
    <col min="7" max="16384" width="8.75390625" style="6" customWidth="1"/>
  </cols>
  <sheetData>
    <row r="1" spans="2:6" ht="16.5">
      <c r="B1" s="34" t="s">
        <v>23</v>
      </c>
      <c r="C1" s="93" t="s">
        <v>97</v>
      </c>
      <c r="D1" s="93"/>
      <c r="E1" s="93"/>
      <c r="F1" s="93"/>
    </row>
    <row r="2" spans="1:6" ht="16.5">
      <c r="A2" s="6" t="s">
        <v>9</v>
      </c>
      <c r="B2" s="35" t="s">
        <v>104</v>
      </c>
      <c r="C2" s="7">
        <v>2017</v>
      </c>
      <c r="D2" s="36">
        <v>2018</v>
      </c>
      <c r="E2" s="36">
        <v>2019</v>
      </c>
      <c r="F2" s="6">
        <v>2020</v>
      </c>
    </row>
    <row r="3" spans="1:6" ht="16.5">
      <c r="A3" s="13" t="s">
        <v>5</v>
      </c>
      <c r="B3" s="37">
        <v>1</v>
      </c>
      <c r="C3" s="38">
        <f>+B3</f>
        <v>1</v>
      </c>
      <c r="D3" s="38">
        <f>+C3</f>
        <v>1</v>
      </c>
      <c r="E3" s="38">
        <f>+D3</f>
        <v>1</v>
      </c>
      <c r="F3" s="38">
        <f>+E3</f>
        <v>1</v>
      </c>
    </row>
    <row r="4" spans="1:2" ht="16.5">
      <c r="A4" s="13"/>
      <c r="B4" s="39"/>
    </row>
    <row r="5" spans="1:15" ht="16.5">
      <c r="A5" s="13" t="s">
        <v>3</v>
      </c>
      <c r="B5" s="40">
        <v>1.85</v>
      </c>
      <c r="C5" s="10">
        <v>1.85</v>
      </c>
      <c r="D5" s="10">
        <f>+C5*D3</f>
        <v>1.85</v>
      </c>
      <c r="E5" s="10">
        <f>+D5*E3</f>
        <v>1.85</v>
      </c>
      <c r="F5" s="10">
        <f>+E5*F3</f>
        <v>1.85</v>
      </c>
      <c r="H5" s="96"/>
      <c r="I5" s="97"/>
      <c r="J5" s="97"/>
      <c r="K5" s="97"/>
      <c r="L5" s="97"/>
      <c r="M5" s="97"/>
      <c r="N5" s="97"/>
      <c r="O5" s="97"/>
    </row>
    <row r="6" spans="1:15" ht="16.5">
      <c r="A6" s="13" t="s">
        <v>4</v>
      </c>
      <c r="B6" s="40">
        <v>0.895</v>
      </c>
      <c r="C6" s="10">
        <v>0.895</v>
      </c>
      <c r="D6" s="10">
        <f>+C6*D3</f>
        <v>0.895</v>
      </c>
      <c r="E6" s="10">
        <f>+D6*E3</f>
        <v>0.895</v>
      </c>
      <c r="F6" s="10">
        <f>+E6*F3</f>
        <v>0.895</v>
      </c>
      <c r="H6" s="97"/>
      <c r="I6" s="97"/>
      <c r="J6" s="97"/>
      <c r="K6" s="97"/>
      <c r="L6" s="97"/>
      <c r="M6" s="97"/>
      <c r="N6" s="97"/>
      <c r="O6" s="97"/>
    </row>
    <row r="7" spans="1:15" ht="16.5">
      <c r="A7" s="13" t="s">
        <v>0</v>
      </c>
      <c r="B7" s="40">
        <v>2.15</v>
      </c>
      <c r="C7" s="10">
        <v>2.15</v>
      </c>
      <c r="D7" s="10">
        <f>+C7*D3</f>
        <v>2.15</v>
      </c>
      <c r="E7" s="10">
        <f>+D7*E3</f>
        <v>2.15</v>
      </c>
      <c r="F7" s="10">
        <f>+E7*F3</f>
        <v>2.15</v>
      </c>
      <c r="H7" s="97"/>
      <c r="I7" s="97"/>
      <c r="J7" s="97"/>
      <c r="K7" s="97"/>
      <c r="L7" s="97"/>
      <c r="M7" s="97"/>
      <c r="N7" s="97"/>
      <c r="O7" s="97"/>
    </row>
    <row r="8" spans="1:15" ht="16.5" hidden="1">
      <c r="A8" s="13" t="s">
        <v>6</v>
      </c>
      <c r="B8" s="40">
        <v>0</v>
      </c>
      <c r="C8" s="10">
        <v>0</v>
      </c>
      <c r="D8" s="10">
        <v>0</v>
      </c>
      <c r="E8" s="10">
        <f>+D8*E3</f>
        <v>0</v>
      </c>
      <c r="F8" s="10">
        <f>+E8*F3</f>
        <v>0</v>
      </c>
      <c r="H8" s="97"/>
      <c r="I8" s="97"/>
      <c r="J8" s="97"/>
      <c r="K8" s="97"/>
      <c r="L8" s="97"/>
      <c r="M8" s="97"/>
      <c r="N8" s="97"/>
      <c r="O8" s="97"/>
    </row>
    <row r="9" spans="1:15" ht="16.5" hidden="1">
      <c r="A9" s="13" t="s">
        <v>7</v>
      </c>
      <c r="B9" s="41">
        <v>0</v>
      </c>
      <c r="C9" s="11">
        <v>0</v>
      </c>
      <c r="D9" s="11">
        <v>0</v>
      </c>
      <c r="E9" s="11">
        <f>+D9*E3</f>
        <v>0</v>
      </c>
      <c r="F9" s="11">
        <f>+E9*F3</f>
        <v>0</v>
      </c>
      <c r="H9" s="97"/>
      <c r="I9" s="97"/>
      <c r="J9" s="97"/>
      <c r="K9" s="97"/>
      <c r="L9" s="97"/>
      <c r="M9" s="97"/>
      <c r="N9" s="97"/>
      <c r="O9" s="97"/>
    </row>
    <row r="10" spans="1:6" ht="16.5">
      <c r="A10" s="13"/>
      <c r="B10" s="40"/>
      <c r="C10" s="10"/>
      <c r="D10" s="10"/>
      <c r="E10" s="10"/>
      <c r="F10" s="10"/>
    </row>
    <row r="11" spans="1:6" ht="16.5">
      <c r="A11" s="13" t="s">
        <v>8</v>
      </c>
      <c r="B11" s="40">
        <f>SUM(B5:B10)</f>
        <v>4.895</v>
      </c>
      <c r="C11" s="10">
        <f>SUM(C5:C10)</f>
        <v>4.895</v>
      </c>
      <c r="D11" s="10">
        <f>SUM(D5:D10)</f>
        <v>4.895</v>
      </c>
      <c r="E11" s="10">
        <f>SUM(E5:E10)</f>
        <v>4.895</v>
      </c>
      <c r="F11" s="10">
        <f>SUM(F5:F10)</f>
        <v>4.895</v>
      </c>
    </row>
    <row r="12" spans="1:6" ht="16.5" hidden="1">
      <c r="A12" s="13"/>
      <c r="B12" s="40"/>
      <c r="C12" s="10"/>
      <c r="D12" s="10"/>
      <c r="E12" s="10"/>
      <c r="F12" s="10"/>
    </row>
    <row r="13" spans="1:6" ht="16.5" hidden="1">
      <c r="A13" s="13" t="s">
        <v>1</v>
      </c>
      <c r="B13" s="40"/>
      <c r="C13" s="10"/>
      <c r="D13" s="10"/>
      <c r="E13" s="10"/>
      <c r="F13" s="10"/>
    </row>
    <row r="14" spans="1:6" ht="16.5" hidden="1">
      <c r="A14" s="13"/>
      <c r="B14" s="40"/>
      <c r="C14" s="10"/>
      <c r="D14" s="10"/>
      <c r="E14" s="10"/>
      <c r="F14" s="10"/>
    </row>
    <row r="15" spans="1:6" ht="16.5" hidden="1">
      <c r="A15" s="13" t="s">
        <v>2</v>
      </c>
      <c r="B15" s="40">
        <v>0</v>
      </c>
      <c r="C15" s="10">
        <v>0</v>
      </c>
      <c r="D15" s="10">
        <v>0</v>
      </c>
      <c r="E15" s="10">
        <f>+D15</f>
        <v>0</v>
      </c>
      <c r="F15" s="10">
        <f>+E15</f>
        <v>0</v>
      </c>
    </row>
    <row r="16" spans="1:2" ht="16.5" hidden="1">
      <c r="A16" s="13"/>
      <c r="B16" s="42"/>
    </row>
    <row r="17" spans="1:6" ht="16.5" hidden="1">
      <c r="A17" s="6" t="s">
        <v>46</v>
      </c>
      <c r="B17" s="43">
        <f>SUM(B14:B16)</f>
        <v>0</v>
      </c>
      <c r="C17" s="11">
        <f>SUM(C14:C16)</f>
        <v>0</v>
      </c>
      <c r="D17" s="11">
        <f>SUM(D14:D16)</f>
        <v>0</v>
      </c>
      <c r="E17" s="11">
        <f>SUM(E14:E16)</f>
        <v>0</v>
      </c>
      <c r="F17" s="11">
        <f>SUM(F14:F16)</f>
        <v>0</v>
      </c>
    </row>
    <row r="18" ht="16.5" hidden="1">
      <c r="B18" s="42"/>
    </row>
    <row r="19" spans="1:6" ht="16.5" hidden="1">
      <c r="A19" s="6" t="s">
        <v>47</v>
      </c>
      <c r="B19" s="44">
        <f>+B17+B11</f>
        <v>4.895</v>
      </c>
      <c r="C19" s="10">
        <f>+C17+C11</f>
        <v>4.895</v>
      </c>
      <c r="D19" s="10">
        <f>+D17+D11</f>
        <v>4.895</v>
      </c>
      <c r="E19" s="10">
        <f>+E17+E11</f>
        <v>4.895</v>
      </c>
      <c r="F19" s="10">
        <f>+F17+F11</f>
        <v>4.895</v>
      </c>
    </row>
    <row r="20" ht="16.5" hidden="1"/>
    <row r="21" ht="16.5" hidden="1"/>
    <row r="22" ht="16.5" hidden="1">
      <c r="C22" s="10"/>
    </row>
    <row r="24" ht="16.5">
      <c r="C24" s="10"/>
    </row>
  </sheetData>
  <sheetProtection/>
  <mergeCells count="2">
    <mergeCell ref="C1:F1"/>
    <mergeCell ref="H5:O9"/>
  </mergeCells>
  <printOptions gridLines="1"/>
  <pageMargins left="0.75" right="0.75" top="1" bottom="1" header="0.5" footer="0.5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2:F40"/>
  <sheetViews>
    <sheetView showGridLines="0" tabSelected="1" zoomScalePageLayoutView="0" workbookViewId="0" topLeftCell="A1">
      <selection activeCell="A17" sqref="A17"/>
    </sheetView>
  </sheetViews>
  <sheetFormatPr defaultColWidth="9.00390625" defaultRowHeight="16.5"/>
  <cols>
    <col min="1" max="1" width="42.375" style="0" customWidth="1"/>
    <col min="2" max="2" width="17.125" style="6" hidden="1" customWidth="1"/>
    <col min="3" max="3" width="8.375" style="0" hidden="1" customWidth="1"/>
    <col min="4" max="4" width="25.75390625" style="0" customWidth="1"/>
    <col min="5" max="5" width="25.50390625" style="0" customWidth="1"/>
    <col min="6" max="6" width="18.75390625" style="0" customWidth="1"/>
  </cols>
  <sheetData>
    <row r="2" spans="1:6" ht="20.25">
      <c r="A2" s="1"/>
      <c r="B2" s="99" t="s">
        <v>40</v>
      </c>
      <c r="C2" s="99"/>
      <c r="D2" s="99"/>
      <c r="E2" s="99"/>
      <c r="F2" s="99"/>
    </row>
    <row r="3" spans="1:6" ht="24" customHeight="1">
      <c r="A3" s="102" t="s">
        <v>24</v>
      </c>
      <c r="B3" s="103"/>
      <c r="C3" s="104">
        <f>+'6-projections TV'!F14</f>
        <v>1242062835.5</v>
      </c>
      <c r="D3" s="104">
        <f>+'6-projections TV'!I14</f>
        <v>1242062835.5</v>
      </c>
      <c r="E3" s="104">
        <f>+'6-projections TV'!$M$14</f>
        <v>1244428944.42</v>
      </c>
      <c r="F3" s="104">
        <f>+'6-projections TV'!$Q$14</f>
        <v>1249210575.5184</v>
      </c>
    </row>
    <row r="4" spans="1:6" ht="28.5" customHeight="1">
      <c r="A4" s="1"/>
      <c r="B4" s="100" t="s">
        <v>25</v>
      </c>
      <c r="C4" s="101" t="s">
        <v>21</v>
      </c>
      <c r="D4" s="98" t="s">
        <v>99</v>
      </c>
      <c r="E4" s="98" t="s">
        <v>101</v>
      </c>
      <c r="F4" s="98" t="s">
        <v>103</v>
      </c>
    </row>
    <row r="5" spans="1:6" ht="12.75" customHeight="1">
      <c r="A5" s="1"/>
      <c r="B5" s="100"/>
      <c r="C5" s="101"/>
      <c r="D5" s="98"/>
      <c r="E5" s="98"/>
      <c r="F5" s="98"/>
    </row>
    <row r="6" spans="1:6" ht="15.75" customHeight="1" thickBot="1">
      <c r="A6" s="1"/>
      <c r="B6" s="22" t="s">
        <v>20</v>
      </c>
      <c r="C6" s="5" t="s">
        <v>22</v>
      </c>
      <c r="D6" s="105" t="s">
        <v>100</v>
      </c>
      <c r="E6" s="105" t="s">
        <v>102</v>
      </c>
      <c r="F6" s="105" t="s">
        <v>106</v>
      </c>
    </row>
    <row r="7" spans="1:6" ht="21" thickBot="1">
      <c r="A7" s="2" t="s">
        <v>10</v>
      </c>
      <c r="B7" s="23"/>
      <c r="C7" s="3"/>
      <c r="D7" s="3"/>
      <c r="E7" s="3"/>
      <c r="F7" s="3"/>
    </row>
    <row r="8" spans="1:6" ht="20.25">
      <c r="A8" s="1" t="s">
        <v>11</v>
      </c>
      <c r="B8" s="24">
        <f>1779165-97855</f>
        <v>1681310</v>
      </c>
      <c r="C8" s="4">
        <f>+C3*'8-2. millage summary'!$C$6/1000</f>
        <v>1111646.2377725001</v>
      </c>
      <c r="D8" s="4">
        <f>+D3*'8-2. millage summary'!$D$6/1000</f>
        <v>1111646.2377725001</v>
      </c>
      <c r="E8" s="4">
        <f>+E3*'8-2. millage summary'!$E$6/1000</f>
        <v>1113763.9052559002</v>
      </c>
      <c r="F8" s="4">
        <f>+F3*'8-2. millage summary'!$F$6/1000</f>
        <v>1118043.465088968</v>
      </c>
    </row>
    <row r="9" spans="1:6" ht="20.25">
      <c r="A9" s="1" t="s">
        <v>12</v>
      </c>
      <c r="B9" s="24">
        <f>4814190-264780</f>
        <v>4549410</v>
      </c>
      <c r="C9" s="4">
        <f>+C3*'8-2. millage summary'!$C$5/1000</f>
        <v>2297816.2456750004</v>
      </c>
      <c r="D9" s="4">
        <f>+D3*'8-2. millage summary'!$D$5/1000</f>
        <v>2297816.2456750004</v>
      </c>
      <c r="E9" s="4">
        <f>+E3*'8-2. millage summary'!$E$5/1000</f>
        <v>2302193.547177</v>
      </c>
      <c r="F9" s="4">
        <f>+F3*'8-2. millage summary'!$F$5/1000</f>
        <v>2311039.5647090403</v>
      </c>
    </row>
    <row r="10" spans="1:6" ht="20.25" hidden="1">
      <c r="A10" s="1" t="s">
        <v>13</v>
      </c>
      <c r="B10" s="24">
        <f>2888515-158870</f>
        <v>2729645</v>
      </c>
      <c r="C10" s="4">
        <f>+C3*'8-2. millage summary'!$C$9/1000</f>
        <v>0</v>
      </c>
      <c r="D10" s="4">
        <f>+D3*'8-2. millage summary'!$D$9/1000</f>
        <v>0</v>
      </c>
      <c r="E10" s="4">
        <f>+E3*'8-2. millage summary'!$E$9/1000</f>
        <v>0</v>
      </c>
      <c r="F10" s="4">
        <f>+F3*'8-2. millage summary'!$F$9/1000</f>
        <v>0</v>
      </c>
    </row>
    <row r="11" spans="1:6" ht="20.25">
      <c r="A11" s="1" t="s">
        <v>0</v>
      </c>
      <c r="B11" s="24">
        <f>6017650-330975</f>
        <v>5686675</v>
      </c>
      <c r="C11" s="4">
        <f>+C3*'8-2. millage summary'!$C$7/1000</f>
        <v>2670435.096325</v>
      </c>
      <c r="D11" s="4">
        <f>+D3*'8-2. millage summary'!$D$7/1000</f>
        <v>2670435.096325</v>
      </c>
      <c r="E11" s="4">
        <f>+E3*'8-2. millage summary'!$E$7/1000</f>
        <v>2675522.2305030003</v>
      </c>
      <c r="F11" s="4">
        <f>+F3*'8-2. millage summary'!$F$7/1000</f>
        <v>2685802.7373645594</v>
      </c>
    </row>
    <row r="12" spans="1:6" ht="20.25" hidden="1">
      <c r="A12" s="1" t="s">
        <v>26</v>
      </c>
      <c r="B12" s="24">
        <f>SUM(B8:B11)</f>
        <v>14647040</v>
      </c>
      <c r="C12" s="4">
        <f>SUM(C8:C11)</f>
        <v>6079897.5797725</v>
      </c>
      <c r="D12" s="106">
        <f>SUM(D8:D11)</f>
        <v>6079897.5797725</v>
      </c>
      <c r="E12" s="107">
        <f>SUM(E8:E11)</f>
        <v>6091479.682935901</v>
      </c>
      <c r="F12" s="108">
        <f>SUM(F8:F11)</f>
        <v>6114885.767162568</v>
      </c>
    </row>
    <row r="13" ht="10.5" customHeight="1">
      <c r="F13" s="16"/>
    </row>
    <row r="14" spans="1:6" ht="20.25">
      <c r="A14" s="1"/>
      <c r="B14" s="99" t="s">
        <v>41</v>
      </c>
      <c r="C14" s="99"/>
      <c r="D14" s="99"/>
      <c r="E14" s="99"/>
      <c r="F14" s="99"/>
    </row>
    <row r="15" spans="1:6" ht="20.25">
      <c r="A15" s="102" t="s">
        <v>24</v>
      </c>
      <c r="B15" s="103"/>
      <c r="C15" s="104">
        <f>+C3</f>
        <v>1242062835.5</v>
      </c>
      <c r="D15" s="104">
        <f>+'6-projections TV'!J14</f>
        <v>1242062835.5</v>
      </c>
      <c r="E15" s="104">
        <f>+'6-projections TV'!N14</f>
        <v>1216406470.315</v>
      </c>
      <c r="F15" s="104">
        <f>+'6-projections TV'!R14</f>
        <v>1198330453.57445</v>
      </c>
    </row>
    <row r="16" spans="1:6" ht="18" customHeight="1">
      <c r="A16" s="1"/>
      <c r="B16" s="100" t="s">
        <v>25</v>
      </c>
      <c r="C16" s="101" t="s">
        <v>21</v>
      </c>
      <c r="D16" s="98" t="s">
        <v>99</v>
      </c>
      <c r="E16" s="98" t="s">
        <v>101</v>
      </c>
      <c r="F16" s="98" t="s">
        <v>103</v>
      </c>
    </row>
    <row r="17" spans="1:6" ht="20.25">
      <c r="A17" s="1"/>
      <c r="B17" s="100"/>
      <c r="C17" s="101"/>
      <c r="D17" s="98"/>
      <c r="E17" s="98"/>
      <c r="F17" s="98"/>
    </row>
    <row r="18" spans="1:6" ht="15" customHeight="1" thickBot="1">
      <c r="A18" s="1"/>
      <c r="B18" s="22" t="s">
        <v>20</v>
      </c>
      <c r="C18" s="5" t="s">
        <v>22</v>
      </c>
      <c r="D18" s="105" t="s">
        <v>100</v>
      </c>
      <c r="E18" s="105" t="s">
        <v>105</v>
      </c>
      <c r="F18" s="105" t="s">
        <v>106</v>
      </c>
    </row>
    <row r="19" spans="1:6" ht="21" thickBot="1">
      <c r="A19" s="2" t="s">
        <v>10</v>
      </c>
      <c r="B19" s="23"/>
      <c r="C19" s="3"/>
      <c r="D19" s="3"/>
      <c r="E19" s="3"/>
      <c r="F19" s="3"/>
    </row>
    <row r="20" spans="1:6" ht="20.25">
      <c r="A20" s="1" t="s">
        <v>11</v>
      </c>
      <c r="B20" s="24">
        <f>1779165-97855</f>
        <v>1681310</v>
      </c>
      <c r="C20" s="4">
        <f>+C15*'8-2. millage summary'!$C$6/1000</f>
        <v>1111646.2377725001</v>
      </c>
      <c r="D20" s="4">
        <f>+D15*'8-2. millage summary'!$D$6/1000</f>
        <v>1111646.2377725001</v>
      </c>
      <c r="E20" s="4">
        <f>+E15*'8-2. millage summary'!$E$6/1000</f>
        <v>1088683.790931925</v>
      </c>
      <c r="F20" s="4">
        <f>+F15*'8-2. millage summary'!$F$6/1000</f>
        <v>1072505.7559491328</v>
      </c>
    </row>
    <row r="21" spans="1:6" ht="20.25">
      <c r="A21" s="1" t="s">
        <v>12</v>
      </c>
      <c r="B21" s="24">
        <f>4814190-264780</f>
        <v>4549410</v>
      </c>
      <c r="C21" s="4">
        <f>+C15*'8-2. millage summary'!$C$5/1000</f>
        <v>2297816.2456750004</v>
      </c>
      <c r="D21" s="4">
        <f>+D15*'8-2. millage summary'!$D$5/1000</f>
        <v>2297816.2456750004</v>
      </c>
      <c r="E21" s="4">
        <f>+E15*'8-2. millage summary'!$E$5/1000</f>
        <v>2250351.9700827505</v>
      </c>
      <c r="F21" s="4">
        <f>+F15*'8-2. millage summary'!$F$5/1000</f>
        <v>2216911.3391127326</v>
      </c>
    </row>
    <row r="22" spans="1:6" ht="20.25" hidden="1">
      <c r="A22" s="1" t="s">
        <v>13</v>
      </c>
      <c r="B22" s="24">
        <f>2888515-158870</f>
        <v>2729645</v>
      </c>
      <c r="C22" s="4">
        <f>+C15*'8-2. millage summary'!$C$9/1000</f>
        <v>0</v>
      </c>
      <c r="D22" s="4">
        <f>+D15*'8-2. millage summary'!$D$9/1000</f>
        <v>0</v>
      </c>
      <c r="E22" s="4">
        <f>+E15*'8-2. millage summary'!$E$9/1000</f>
        <v>0</v>
      </c>
      <c r="F22" s="4">
        <f>+F15*'8-2. millage summary'!$F$9/1000</f>
        <v>0</v>
      </c>
    </row>
    <row r="23" spans="1:6" ht="20.25">
      <c r="A23" s="1" t="s">
        <v>0</v>
      </c>
      <c r="B23" s="24">
        <f>6017650-330975</f>
        <v>5686675</v>
      </c>
      <c r="C23" s="4">
        <f>+C15*'8-2. millage summary'!$C$7/1000</f>
        <v>2670435.096325</v>
      </c>
      <c r="D23" s="4">
        <f>+D15*'8-2. millage summary'!$D$7/1000</f>
        <v>2670435.096325</v>
      </c>
      <c r="E23" s="4">
        <f>+E15*'8-2. millage summary'!$E$7/1000</f>
        <v>2615273.91117725</v>
      </c>
      <c r="F23" s="4">
        <f>+F15*'8-2. millage summary'!$F$7/1000</f>
        <v>2576410.475185068</v>
      </c>
    </row>
    <row r="24" spans="1:6" ht="20.25" hidden="1">
      <c r="A24" s="1" t="s">
        <v>14</v>
      </c>
      <c r="B24" s="24">
        <f>1729351-95114</f>
        <v>1634237</v>
      </c>
      <c r="C24" s="4">
        <f>+C15*'8-2. millage summary'!$C$8/1000</f>
        <v>0</v>
      </c>
      <c r="D24" s="4">
        <f>+D15*'8-2. millage summary'!$D$8/1000</f>
        <v>0</v>
      </c>
      <c r="E24" s="4">
        <f>+E15*'8-2. millage summary'!$E$8/1000</f>
        <v>0</v>
      </c>
      <c r="F24" s="4">
        <f>+F15*'8-2. millage summary'!$F$8/1000</f>
        <v>0</v>
      </c>
    </row>
    <row r="25" spans="1:6" s="17" customFormat="1" ht="20.25" hidden="1">
      <c r="A25" s="20" t="s">
        <v>48</v>
      </c>
      <c r="B25" s="21">
        <f>697220-38350</f>
        <v>658870</v>
      </c>
      <c r="C25" s="21">
        <f>+$C15*'8-2. millage summary'!$C$15/1000</f>
        <v>0</v>
      </c>
      <c r="D25" s="21">
        <f>+$D15*'8-2. millage summary'!$D$15/1000</f>
        <v>0</v>
      </c>
      <c r="E25" s="21">
        <f>+$E15*'8-2. millage summary'!$E$15/1000</f>
        <v>0</v>
      </c>
      <c r="F25" s="21">
        <f>+F15*'8-2. millage summary'!$F$15/1000</f>
        <v>0</v>
      </c>
    </row>
    <row r="26" spans="1:6" ht="20.25" hidden="1">
      <c r="A26" s="1" t="s">
        <v>26</v>
      </c>
      <c r="B26" s="24">
        <f>SUM(B20:B25)</f>
        <v>16940147</v>
      </c>
      <c r="C26" s="4">
        <f>SUM(C20:C25)</f>
        <v>6079897.5797725</v>
      </c>
      <c r="D26" s="4">
        <f>SUM(D20:D25)</f>
        <v>6079897.5797725</v>
      </c>
      <c r="E26" s="4">
        <f>SUM(E20:E25)</f>
        <v>5954309.672191925</v>
      </c>
      <c r="F26" s="4">
        <f>SUM(F20:F25)</f>
        <v>5865827.570246933</v>
      </c>
    </row>
    <row r="27" ht="9" customHeight="1"/>
    <row r="28" spans="1:6" ht="20.25">
      <c r="A28" s="1"/>
      <c r="B28" s="99" t="s">
        <v>42</v>
      </c>
      <c r="C28" s="99"/>
      <c r="D28" s="99"/>
      <c r="E28" s="99"/>
      <c r="F28" s="99"/>
    </row>
    <row r="29" spans="1:6" ht="20.25">
      <c r="A29" s="102" t="s">
        <v>24</v>
      </c>
      <c r="B29" s="103"/>
      <c r="C29" s="104">
        <f>+C15</f>
        <v>1242062835.5</v>
      </c>
      <c r="D29" s="104">
        <f>+'6-projections TV'!K14</f>
        <v>1242062835.5</v>
      </c>
      <c r="E29" s="104">
        <f>+'6-projections TV'!O14</f>
        <v>1153077227.76</v>
      </c>
      <c r="F29" s="104">
        <f>+'6-projections TV'!S14</f>
        <v>1085361793.3909998</v>
      </c>
    </row>
    <row r="30" spans="1:6" ht="20.25" customHeight="1">
      <c r="A30" s="1"/>
      <c r="B30" s="100" t="s">
        <v>25</v>
      </c>
      <c r="C30" s="101" t="s">
        <v>21</v>
      </c>
      <c r="D30" s="98" t="s">
        <v>99</v>
      </c>
      <c r="E30" s="98" t="s">
        <v>101</v>
      </c>
      <c r="F30" s="98" t="s">
        <v>103</v>
      </c>
    </row>
    <row r="31" spans="1:6" ht="15" customHeight="1">
      <c r="A31" s="1"/>
      <c r="B31" s="100"/>
      <c r="C31" s="101"/>
      <c r="D31" s="98"/>
      <c r="E31" s="98"/>
      <c r="F31" s="98"/>
    </row>
    <row r="32" spans="1:6" ht="16.5" customHeight="1" thickBot="1">
      <c r="A32" s="1"/>
      <c r="B32" s="22" t="s">
        <v>20</v>
      </c>
      <c r="C32" s="5" t="s">
        <v>22</v>
      </c>
      <c r="D32" s="105" t="s">
        <v>100</v>
      </c>
      <c r="E32" s="105" t="s">
        <v>105</v>
      </c>
      <c r="F32" s="105" t="s">
        <v>106</v>
      </c>
    </row>
    <row r="33" spans="1:6" ht="21" thickBot="1">
      <c r="A33" s="2" t="s">
        <v>10</v>
      </c>
      <c r="B33" s="23"/>
      <c r="C33" s="3"/>
      <c r="D33" s="3"/>
      <c r="E33" s="3"/>
      <c r="F33" s="3"/>
    </row>
    <row r="34" spans="1:6" ht="20.25">
      <c r="A34" s="1" t="s">
        <v>11</v>
      </c>
      <c r="B34" s="24">
        <f>1779165-97855</f>
        <v>1681310</v>
      </c>
      <c r="C34" s="4">
        <f>+C29*'8-2. millage summary'!$C$6/1000</f>
        <v>1111646.2377725001</v>
      </c>
      <c r="D34" s="4">
        <f>+D29*'8-2. millage summary'!$D$6/1000</f>
        <v>1111646.2377725001</v>
      </c>
      <c r="E34" s="4">
        <f>+E29*'8-2. millage summary'!$E$6/1000</f>
        <v>1032004.1188452</v>
      </c>
      <c r="F34" s="4">
        <f>+F29*'8-2. millage summary'!$F$6/1000</f>
        <v>971398.8050849448</v>
      </c>
    </row>
    <row r="35" spans="1:6" ht="20.25">
      <c r="A35" s="1" t="s">
        <v>12</v>
      </c>
      <c r="B35" s="24">
        <f>4814190-264780</f>
        <v>4549410</v>
      </c>
      <c r="C35" s="4">
        <f>+C29*'8-2. millage summary'!$C$5/1000</f>
        <v>2297816.2456750004</v>
      </c>
      <c r="D35" s="4">
        <f>+D29*'8-2. millage summary'!$D$5/1000</f>
        <v>2297816.2456750004</v>
      </c>
      <c r="E35" s="4">
        <f>+E29*'8-2. millage summary'!$E$5/1000</f>
        <v>2133192.871356</v>
      </c>
      <c r="F35" s="4">
        <f>+F29*'8-2. millage summary'!$F$5/1000</f>
        <v>2007919.3177733498</v>
      </c>
    </row>
    <row r="36" spans="1:6" ht="20.25" hidden="1">
      <c r="A36" s="1" t="s">
        <v>13</v>
      </c>
      <c r="B36" s="24">
        <f>2888515-158870</f>
        <v>2729645</v>
      </c>
      <c r="C36" s="4">
        <f>+C29*'8-2. millage summary'!$C$9/1000</f>
        <v>0</v>
      </c>
      <c r="D36" s="4">
        <f>+D29*'8-2. millage summary'!$D$9/1000</f>
        <v>0</v>
      </c>
      <c r="E36" s="4">
        <f>+E29*'8-2. millage summary'!$E$9/1000</f>
        <v>0</v>
      </c>
      <c r="F36" s="4">
        <f>+F29*'8-2. millage summary'!$F$9/1000</f>
        <v>0</v>
      </c>
    </row>
    <row r="37" spans="1:6" ht="20.25">
      <c r="A37" s="1" t="s">
        <v>0</v>
      </c>
      <c r="B37" s="24">
        <f>6017650-330975</f>
        <v>5686675</v>
      </c>
      <c r="C37" s="4">
        <f>+C29*'8-2. millage summary'!$C$7/1000</f>
        <v>2670435.096325</v>
      </c>
      <c r="D37" s="4">
        <f>+D29*'8-2. millage summary'!$D$7/1000</f>
        <v>2670435.096325</v>
      </c>
      <c r="E37" s="4">
        <f>+E29*'8-2. millage summary'!$E$7/1000</f>
        <v>2479116.039684</v>
      </c>
      <c r="F37" s="4">
        <f>+F29*'8-2. millage summary'!$F$7/1000</f>
        <v>2333527.8557906495</v>
      </c>
    </row>
    <row r="38" spans="1:6" ht="20.25" hidden="1">
      <c r="A38" s="1" t="s">
        <v>14</v>
      </c>
      <c r="B38" s="24">
        <f>1729351-95114</f>
        <v>1634237</v>
      </c>
      <c r="C38" s="4">
        <f>+C29*'8-2. millage summary'!$C$8/1000</f>
        <v>0</v>
      </c>
      <c r="D38" s="4">
        <f>+D29*'8-2. millage summary'!$D$8/1000</f>
        <v>0</v>
      </c>
      <c r="E38" s="4">
        <f>+E29*'8-2. millage summary'!$E$8/1000</f>
        <v>0</v>
      </c>
      <c r="F38" s="4">
        <f>+F29*'8-2. millage summary'!$F$8/1000</f>
        <v>0</v>
      </c>
    </row>
    <row r="39" spans="1:6" s="17" customFormat="1" ht="20.25" hidden="1">
      <c r="A39" s="20" t="s">
        <v>48</v>
      </c>
      <c r="B39" s="21">
        <f>697220-38350</f>
        <v>658870</v>
      </c>
      <c r="C39" s="21">
        <f>+$C29*'8-2. millage summary'!$C$15/1000</f>
        <v>0</v>
      </c>
      <c r="D39" s="21">
        <f>+$D29*'8-2. millage summary'!$D$15/1000</f>
        <v>0</v>
      </c>
      <c r="E39" s="21">
        <f>+$E29*'8-2. millage summary'!$E$15/1000</f>
        <v>0</v>
      </c>
      <c r="F39" s="21">
        <f>+F29*'8-2. millage summary'!$F$15/1000</f>
        <v>0</v>
      </c>
    </row>
    <row r="40" spans="1:6" ht="20.25" hidden="1">
      <c r="A40" s="1" t="s">
        <v>26</v>
      </c>
      <c r="B40" s="24">
        <f>SUM(B34:B39)</f>
        <v>16940147</v>
      </c>
      <c r="C40" s="4">
        <f>SUM(C34:C39)</f>
        <v>6079897.5797725</v>
      </c>
      <c r="D40" s="4">
        <f>SUM(D34:D39)</f>
        <v>6079897.5797725</v>
      </c>
      <c r="E40" s="4">
        <f>SUM(E34:E39)</f>
        <v>5644313.029885201</v>
      </c>
      <c r="F40" s="4">
        <f>SUM(F34:F39)</f>
        <v>5312845.978648944</v>
      </c>
    </row>
  </sheetData>
  <sheetProtection/>
  <mergeCells count="18">
    <mergeCell ref="B2:F2"/>
    <mergeCell ref="B16:B17"/>
    <mergeCell ref="C16:C17"/>
    <mergeCell ref="D16:D17"/>
    <mergeCell ref="F4:F5"/>
    <mergeCell ref="B4:B5"/>
    <mergeCell ref="C4:C5"/>
    <mergeCell ref="D4:D5"/>
    <mergeCell ref="E4:E5"/>
    <mergeCell ref="E16:E17"/>
    <mergeCell ref="F16:F17"/>
    <mergeCell ref="B14:F14"/>
    <mergeCell ref="B28:F28"/>
    <mergeCell ref="F30:F31"/>
    <mergeCell ref="B30:B31"/>
    <mergeCell ref="C30:C31"/>
    <mergeCell ref="D30:D31"/>
    <mergeCell ref="E30:E31"/>
  </mergeCells>
  <printOptions gridLines="1"/>
  <pageMargins left="0.27" right="0.18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Post, Smythe, Lutz &amp; Ziel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Williamson</dc:creator>
  <cp:keywords/>
  <dc:description/>
  <cp:lastModifiedBy>David Williamson</cp:lastModifiedBy>
  <cp:lastPrinted>2015-12-03T19:33:19Z</cp:lastPrinted>
  <dcterms:created xsi:type="dcterms:W3CDTF">1998-09-08T15:14:14Z</dcterms:created>
  <dcterms:modified xsi:type="dcterms:W3CDTF">2015-12-07T18:29:23Z</dcterms:modified>
  <cp:category/>
  <cp:version/>
  <cp:contentType/>
  <cp:contentStatus/>
</cp:coreProperties>
</file>